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10 - LICITAÇÕES\07 - REFORMA BIOTÉRIO\01 - PROPOSTA OHS\04 - REVISÕES PLANILHA\"/>
    </mc:Choice>
  </mc:AlternateContent>
  <xr:revisionPtr revIDLastSave="0" documentId="13_ncr:1_{D18B8331-965E-481D-9957-821E78165A95}" xr6:coauthVersionLast="47" xr6:coauthVersionMax="47" xr10:uidLastSave="{00000000-0000-0000-0000-000000000000}"/>
  <bookViews>
    <workbookView xWindow="19200" yWindow="0" windowWidth="19200" windowHeight="15600" tabRatio="865" xr2:uid="{00000000-000D-0000-FFFF-FFFF00000000}"/>
  </bookViews>
  <sheets>
    <sheet name="SERVIÇOS" sheetId="42" r:id="rId1"/>
    <sheet name="COMPOSIÇÕES" sheetId="61" r:id="rId2"/>
    <sheet name="CRONOGRAMA" sheetId="57" r:id="rId3"/>
    <sheet name="ENCARGOS SOCIAIS" sheetId="59" r:id="rId4"/>
    <sheet name="BDI EQUIPAMENTOS" sheetId="62" r:id="rId5"/>
    <sheet name="BDI OBRAS" sheetId="55" r:id="rId6"/>
  </sheets>
  <definedNames>
    <definedName name="_xlnm._FilterDatabase" localSheetId="1" hidden="1">COMPOSIÇÕES!$A$22:$H$22</definedName>
    <definedName name="_xlnm._FilterDatabase" localSheetId="2" hidden="1">CRONOGRAMA!$C$100:$C$114</definedName>
    <definedName name="_xlnm._FilterDatabase" localSheetId="0" hidden="1">SERVIÇOS!$A$12:$J$148</definedName>
    <definedName name="_xlnm.Print_Area" localSheetId="4">'BDI EQUIPAMENTOS'!$A$1:$H$48</definedName>
    <definedName name="_xlnm.Print_Area" localSheetId="5">'BDI OBRAS'!$A$1:$H$48</definedName>
    <definedName name="_xlnm.Print_Area" localSheetId="1">COMPOSIÇÕES!$A$1:$H$504</definedName>
    <definedName name="_xlnm.Print_Area" localSheetId="2">CRONOGRAMA!$A$1:$N$138</definedName>
    <definedName name="_xlnm.Print_Area" localSheetId="3">'ENCARGOS SOCIAIS'!$A$1:$M$35</definedName>
    <definedName name="_xlnm.Print_Area" localSheetId="0">SERVIÇOS!$A$1:$H$156</definedName>
    <definedName name="_xlnm.Print_Titles" localSheetId="1">COMPOSIÇÕES!$1:$11</definedName>
    <definedName name="_xlnm.Print_Titles" localSheetId="0">SERVIÇOS!$1:$11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7" i="42" l="1"/>
  <c r="C31" i="55"/>
  <c r="G383" i="61"/>
  <c r="D383" i="61"/>
  <c r="C383" i="61"/>
  <c r="G382" i="61"/>
  <c r="D382" i="61"/>
  <c r="C382" i="61"/>
  <c r="D380" i="61"/>
  <c r="H384" i="61"/>
  <c r="H383" i="61"/>
  <c r="H381" i="61"/>
  <c r="F262" i="61"/>
  <c r="G262" i="61"/>
  <c r="D262" i="61"/>
  <c r="C262" i="61"/>
  <c r="G261" i="61"/>
  <c r="D261" i="61"/>
  <c r="C261" i="61"/>
  <c r="C27" i="62"/>
  <c r="C39" i="62"/>
  <c r="H37" i="62"/>
  <c r="C31" i="62"/>
  <c r="C46" i="62" s="1"/>
  <c r="A13" i="62"/>
  <c r="G8" i="62"/>
  <c r="D8" i="62"/>
  <c r="A8" i="62"/>
  <c r="D6" i="62"/>
  <c r="B15" i="57"/>
  <c r="B14" i="57"/>
  <c r="B13" i="57"/>
  <c r="B11" i="57"/>
  <c r="G152" i="42"/>
  <c r="G151" i="42" s="1"/>
  <c r="G143" i="42"/>
  <c r="G147" i="42"/>
  <c r="G148" i="42"/>
  <c r="G56" i="42"/>
  <c r="G62" i="42"/>
  <c r="G69" i="42"/>
  <c r="G72" i="42"/>
  <c r="G73" i="42"/>
  <c r="G74" i="42"/>
  <c r="G75" i="42"/>
  <c r="G76" i="42"/>
  <c r="G78" i="42"/>
  <c r="G79" i="42"/>
  <c r="G85" i="42"/>
  <c r="G86" i="42"/>
  <c r="G88" i="42"/>
  <c r="G90" i="42"/>
  <c r="G91" i="42"/>
  <c r="G96" i="42"/>
  <c r="G97" i="42"/>
  <c r="G101" i="42"/>
  <c r="G102" i="42"/>
  <c r="G103" i="42"/>
  <c r="G108" i="42"/>
  <c r="G111" i="42"/>
  <c r="G112" i="42"/>
  <c r="G113" i="42"/>
  <c r="G114" i="42"/>
  <c r="G115" i="42"/>
  <c r="G116" i="42"/>
  <c r="G117" i="42"/>
  <c r="G118" i="42"/>
  <c r="G119" i="42"/>
  <c r="G120" i="42"/>
  <c r="G121" i="42"/>
  <c r="G122" i="42"/>
  <c r="G123" i="42"/>
  <c r="G124" i="42"/>
  <c r="G125" i="42"/>
  <c r="G126" i="42"/>
  <c r="G127" i="42"/>
  <c r="G128" i="42"/>
  <c r="G130" i="42"/>
  <c r="G131" i="42"/>
  <c r="G132" i="42"/>
  <c r="G133" i="42"/>
  <c r="G134" i="42"/>
  <c r="G135" i="42"/>
  <c r="G136" i="42"/>
  <c r="G138" i="42"/>
  <c r="G139" i="42"/>
  <c r="G50" i="42"/>
  <c r="G55" i="42"/>
  <c r="G500" i="61"/>
  <c r="H500" i="61" s="1"/>
  <c r="H501" i="61" s="1"/>
  <c r="F146" i="42" s="1"/>
  <c r="G146" i="42" s="1"/>
  <c r="D500" i="61"/>
  <c r="C500" i="61"/>
  <c r="D499" i="61"/>
  <c r="G495" i="61"/>
  <c r="D495" i="61"/>
  <c r="C495" i="61"/>
  <c r="D494" i="61"/>
  <c r="H495" i="61"/>
  <c r="H496" i="61" s="1"/>
  <c r="F145" i="42" s="1"/>
  <c r="G145" i="42" s="1"/>
  <c r="C15" i="57" l="1"/>
  <c r="E15" i="57" s="1"/>
  <c r="G153" i="42"/>
  <c r="G154" i="42" s="1"/>
  <c r="H382" i="61"/>
  <c r="H385" i="61" s="1"/>
  <c r="F87" i="42" s="1"/>
  <c r="G87" i="42" s="1"/>
  <c r="G488" i="61"/>
  <c r="H488" i="61" s="1"/>
  <c r="H489" i="61" s="1"/>
  <c r="F142" i="42" s="1"/>
  <c r="G142" i="42" s="1"/>
  <c r="D488" i="61"/>
  <c r="C488" i="61"/>
  <c r="D487" i="61"/>
  <c r="H483" i="61"/>
  <c r="H482" i="61"/>
  <c r="G484" i="61"/>
  <c r="H484" i="61" s="1"/>
  <c r="D484" i="61"/>
  <c r="C484" i="61"/>
  <c r="D481" i="61"/>
  <c r="D476" i="61"/>
  <c r="H477" i="61"/>
  <c r="H478" i="61" s="1"/>
  <c r="F137" i="42" s="1"/>
  <c r="G137" i="42" s="1"/>
  <c r="D469" i="61"/>
  <c r="H471" i="61"/>
  <c r="H470" i="61"/>
  <c r="H473" i="61" s="1"/>
  <c r="F129" i="42" s="1"/>
  <c r="G129" i="42" s="1"/>
  <c r="C125" i="42"/>
  <c r="C124" i="42"/>
  <c r="H485" i="61" l="1"/>
  <c r="F140" i="42" s="1"/>
  <c r="G140" i="42" s="1"/>
  <c r="C108" i="42"/>
  <c r="D458" i="61" s="1"/>
  <c r="H460" i="61"/>
  <c r="H461" i="61"/>
  <c r="H462" i="61"/>
  <c r="H463" i="61"/>
  <c r="H464" i="61"/>
  <c r="H459" i="61"/>
  <c r="C107" i="42"/>
  <c r="G452" i="61"/>
  <c r="H452" i="61" s="1"/>
  <c r="D452" i="61"/>
  <c r="C452" i="61"/>
  <c r="H453" i="61"/>
  <c r="C106" i="42"/>
  <c r="D451" i="61" s="1"/>
  <c r="G446" i="61"/>
  <c r="H446" i="61" s="1"/>
  <c r="C446" i="61"/>
  <c r="D446" i="61"/>
  <c r="C105" i="42"/>
  <c r="D444" i="61" s="1"/>
  <c r="H445" i="61"/>
  <c r="C110" i="42"/>
  <c r="E109" i="42"/>
  <c r="G109" i="42" s="1"/>
  <c r="E104" i="42"/>
  <c r="G439" i="61"/>
  <c r="H439" i="61" s="1"/>
  <c r="D439" i="61"/>
  <c r="C439" i="61"/>
  <c r="D437" i="61"/>
  <c r="H440" i="61"/>
  <c r="H438" i="61"/>
  <c r="G432" i="61"/>
  <c r="H432" i="61" s="1"/>
  <c r="D432" i="61"/>
  <c r="C432" i="61"/>
  <c r="G431" i="61"/>
  <c r="H431" i="61" s="1"/>
  <c r="C431" i="61"/>
  <c r="H427" i="61"/>
  <c r="H428" i="61"/>
  <c r="H429" i="61"/>
  <c r="H430" i="61"/>
  <c r="H433" i="61"/>
  <c r="H426" i="61"/>
  <c r="D425" i="61"/>
  <c r="G418" i="61"/>
  <c r="H418" i="61" s="1"/>
  <c r="D418" i="61"/>
  <c r="C418" i="61"/>
  <c r="D417" i="61"/>
  <c r="G420" i="61"/>
  <c r="H420" i="61" s="1"/>
  <c r="H419" i="61"/>
  <c r="G413" i="61"/>
  <c r="H413" i="61" s="1"/>
  <c r="D413" i="61"/>
  <c r="C413" i="61"/>
  <c r="D410" i="61"/>
  <c r="H412" i="61"/>
  <c r="H411" i="61"/>
  <c r="H406" i="61"/>
  <c r="H405" i="61"/>
  <c r="H404" i="61"/>
  <c r="C93" i="42"/>
  <c r="D403" i="61" s="1"/>
  <c r="C92" i="42"/>
  <c r="E95" i="42"/>
  <c r="G95" i="42" s="1"/>
  <c r="E93" i="42"/>
  <c r="E92" i="42"/>
  <c r="G92" i="42" s="1"/>
  <c r="C89" i="42"/>
  <c r="D396" i="61" s="1"/>
  <c r="C83" i="42"/>
  <c r="H399" i="61"/>
  <c r="H398" i="61"/>
  <c r="H397" i="61"/>
  <c r="D370" i="61"/>
  <c r="H375" i="61"/>
  <c r="H374" i="61"/>
  <c r="H373" i="61"/>
  <c r="H372" i="61"/>
  <c r="H371" i="61"/>
  <c r="H362" i="61"/>
  <c r="H363" i="61"/>
  <c r="H364" i="61"/>
  <c r="H365" i="61"/>
  <c r="H366" i="61"/>
  <c r="H361" i="61"/>
  <c r="D360" i="61"/>
  <c r="H355" i="61"/>
  <c r="H354" i="61"/>
  <c r="H353" i="61"/>
  <c r="H352" i="61"/>
  <c r="H351" i="61"/>
  <c r="E84" i="42"/>
  <c r="E83" i="42"/>
  <c r="C80" i="42"/>
  <c r="D350" i="61" s="1"/>
  <c r="E77" i="42"/>
  <c r="G77" i="42" s="1"/>
  <c r="H332" i="61"/>
  <c r="H333" i="61"/>
  <c r="H334" i="61"/>
  <c r="H335" i="61"/>
  <c r="H331" i="61"/>
  <c r="D330" i="61"/>
  <c r="H323" i="61"/>
  <c r="H324" i="61"/>
  <c r="H325" i="61"/>
  <c r="H326" i="61"/>
  <c r="H322" i="61"/>
  <c r="D321" i="61"/>
  <c r="H312" i="61"/>
  <c r="H313" i="61"/>
  <c r="H314" i="61"/>
  <c r="H315" i="61"/>
  <c r="H316" i="61"/>
  <c r="H317" i="61"/>
  <c r="H318" i="61"/>
  <c r="D310" i="61"/>
  <c r="H302" i="61"/>
  <c r="H303" i="61"/>
  <c r="H304" i="61"/>
  <c r="H305" i="61"/>
  <c r="H301" i="61"/>
  <c r="D300" i="61"/>
  <c r="H293" i="61"/>
  <c r="H294" i="61"/>
  <c r="H295" i="61"/>
  <c r="H296" i="61"/>
  <c r="H292" i="61"/>
  <c r="D291" i="61"/>
  <c r="H283" i="61"/>
  <c r="H284" i="61"/>
  <c r="H285" i="61"/>
  <c r="H286" i="61"/>
  <c r="H282" i="61"/>
  <c r="D281" i="61"/>
  <c r="H276" i="61"/>
  <c r="H277" i="61"/>
  <c r="G275" i="61"/>
  <c r="H275" i="61" s="1"/>
  <c r="D275" i="61"/>
  <c r="C275" i="61"/>
  <c r="G274" i="61"/>
  <c r="H274" i="61" s="1"/>
  <c r="D274" i="61"/>
  <c r="C274" i="61"/>
  <c r="D272" i="61"/>
  <c r="H262" i="61"/>
  <c r="H263" i="61"/>
  <c r="H264" i="61"/>
  <c r="H265" i="61"/>
  <c r="H267" i="61"/>
  <c r="H268" i="61"/>
  <c r="H261" i="61"/>
  <c r="H266" i="61"/>
  <c r="D260" i="61"/>
  <c r="H248" i="61"/>
  <c r="H249" i="61"/>
  <c r="H250" i="61"/>
  <c r="H251" i="61"/>
  <c r="H252" i="61"/>
  <c r="H253" i="61"/>
  <c r="H254" i="61"/>
  <c r="G255" i="61"/>
  <c r="H255" i="61" s="1"/>
  <c r="D255" i="61"/>
  <c r="C255" i="61"/>
  <c r="H247" i="61"/>
  <c r="D246" i="61"/>
  <c r="D238" i="61"/>
  <c r="H232" i="61"/>
  <c r="H233" i="61"/>
  <c r="H234" i="61"/>
  <c r="H235" i="61"/>
  <c r="H231" i="61"/>
  <c r="D230" i="61"/>
  <c r="F225" i="61"/>
  <c r="G225" i="61"/>
  <c r="G224" i="61"/>
  <c r="H224" i="61" s="1"/>
  <c r="D225" i="61"/>
  <c r="C225" i="61"/>
  <c r="C224" i="61"/>
  <c r="D224" i="61"/>
  <c r="H223" i="61"/>
  <c r="D222" i="61"/>
  <c r="G219" i="61"/>
  <c r="H219" i="61" s="1"/>
  <c r="D219" i="61"/>
  <c r="C219" i="61"/>
  <c r="D217" i="61"/>
  <c r="H212" i="61"/>
  <c r="G213" i="61"/>
  <c r="H213" i="61" s="1"/>
  <c r="C213" i="61"/>
  <c r="D213" i="61"/>
  <c r="D210" i="61"/>
  <c r="G206" i="61"/>
  <c r="D206" i="61"/>
  <c r="C206" i="61"/>
  <c r="D205" i="61"/>
  <c r="H195" i="61"/>
  <c r="H196" i="61"/>
  <c r="H197" i="61"/>
  <c r="H198" i="61"/>
  <c r="H199" i="61"/>
  <c r="H201" i="61"/>
  <c r="H202" i="61"/>
  <c r="H194" i="61"/>
  <c r="G200" i="61"/>
  <c r="H200" i="61" s="1"/>
  <c r="D200" i="61"/>
  <c r="C200" i="61"/>
  <c r="D193" i="61"/>
  <c r="H183" i="61"/>
  <c r="H184" i="61"/>
  <c r="H186" i="61"/>
  <c r="H182" i="61"/>
  <c r="G185" i="61"/>
  <c r="F185" i="61"/>
  <c r="D185" i="61"/>
  <c r="C185" i="61"/>
  <c r="D184" i="61"/>
  <c r="C184" i="61"/>
  <c r="D181" i="61"/>
  <c r="H175" i="61"/>
  <c r="H178" i="61"/>
  <c r="H174" i="61"/>
  <c r="G177" i="61"/>
  <c r="H177" i="61" s="1"/>
  <c r="G176" i="61"/>
  <c r="H176" i="61" s="1"/>
  <c r="D177" i="61"/>
  <c r="D176" i="61"/>
  <c r="C177" i="61"/>
  <c r="C176" i="61"/>
  <c r="D173" i="61"/>
  <c r="D161" i="61"/>
  <c r="H169" i="61"/>
  <c r="G168" i="61"/>
  <c r="H168" i="61" s="1"/>
  <c r="D168" i="61"/>
  <c r="C168" i="61"/>
  <c r="G167" i="61"/>
  <c r="H167" i="61" s="1"/>
  <c r="D167" i="61"/>
  <c r="C167" i="61"/>
  <c r="H166" i="61"/>
  <c r="H165" i="61"/>
  <c r="H164" i="61"/>
  <c r="H163" i="61"/>
  <c r="H162" i="61"/>
  <c r="F158" i="61"/>
  <c r="G158" i="61"/>
  <c r="G157" i="61"/>
  <c r="H157" i="61" s="1"/>
  <c r="C158" i="61"/>
  <c r="C157" i="61"/>
  <c r="D158" i="61"/>
  <c r="D157" i="61"/>
  <c r="D156" i="61"/>
  <c r="G153" i="61"/>
  <c r="H153" i="61" s="1"/>
  <c r="G152" i="61"/>
  <c r="H152" i="61" s="1"/>
  <c r="D153" i="61"/>
  <c r="C153" i="61"/>
  <c r="C152" i="61"/>
  <c r="D152" i="61"/>
  <c r="D150" i="61"/>
  <c r="G144" i="61"/>
  <c r="F144" i="61"/>
  <c r="D144" i="61"/>
  <c r="C144" i="61"/>
  <c r="H142" i="61"/>
  <c r="H143" i="61"/>
  <c r="H145" i="61"/>
  <c r="H141" i="61"/>
  <c r="C143" i="61"/>
  <c r="D143" i="61"/>
  <c r="D140" i="61"/>
  <c r="G134" i="61"/>
  <c r="H134" i="61" s="1"/>
  <c r="C134" i="61"/>
  <c r="D134" i="61"/>
  <c r="G133" i="61"/>
  <c r="H133" i="61" s="1"/>
  <c r="D133" i="61"/>
  <c r="C133" i="61"/>
  <c r="H129" i="61"/>
  <c r="H130" i="61"/>
  <c r="H131" i="61"/>
  <c r="H132" i="61"/>
  <c r="H135" i="61"/>
  <c r="H122" i="61"/>
  <c r="G123" i="61"/>
  <c r="H123" i="61" s="1"/>
  <c r="C123" i="61"/>
  <c r="D123" i="61"/>
  <c r="D120" i="61"/>
  <c r="H117" i="61"/>
  <c r="H116" i="61"/>
  <c r="H121" i="61"/>
  <c r="D115" i="61"/>
  <c r="G111" i="61"/>
  <c r="H111" i="61" s="1"/>
  <c r="D111" i="61"/>
  <c r="C111" i="61"/>
  <c r="D74" i="61"/>
  <c r="C74" i="61"/>
  <c r="G74" i="61"/>
  <c r="D110" i="61"/>
  <c r="H107" i="61"/>
  <c r="G101" i="61"/>
  <c r="C101" i="61"/>
  <c r="D101" i="61"/>
  <c r="E80" i="42" l="1"/>
  <c r="G84" i="42"/>
  <c r="E82" i="42"/>
  <c r="G83" i="42"/>
  <c r="H269" i="61"/>
  <c r="H465" i="61"/>
  <c r="F107" i="42" s="1"/>
  <c r="G107" i="42" s="1"/>
  <c r="E110" i="42"/>
  <c r="G104" i="42"/>
  <c r="H448" i="61"/>
  <c r="F105" i="42" s="1"/>
  <c r="G105" i="42" s="1"/>
  <c r="H455" i="61"/>
  <c r="F106" i="42" s="1"/>
  <c r="G106" i="42" s="1"/>
  <c r="H441" i="61"/>
  <c r="F100" i="42" s="1"/>
  <c r="G100" i="42" s="1"/>
  <c r="H400" i="61"/>
  <c r="F89" i="42" s="1"/>
  <c r="G89" i="42" s="1"/>
  <c r="H434" i="61"/>
  <c r="F99" i="42" s="1"/>
  <c r="G99" i="42" s="1"/>
  <c r="H421" i="61"/>
  <c r="H414" i="61"/>
  <c r="F94" i="42" s="1"/>
  <c r="G94" i="42" s="1"/>
  <c r="H407" i="61"/>
  <c r="F93" i="42" s="1"/>
  <c r="G93" i="42" s="1"/>
  <c r="H376" i="61"/>
  <c r="F82" i="42" s="1"/>
  <c r="G82" i="42" s="1"/>
  <c r="H367" i="61"/>
  <c r="F81" i="42" s="1"/>
  <c r="H356" i="61"/>
  <c r="F80" i="42" s="1"/>
  <c r="H336" i="61"/>
  <c r="F71" i="42" s="1"/>
  <c r="G71" i="42" s="1"/>
  <c r="E81" i="42"/>
  <c r="H327" i="61"/>
  <c r="F70" i="42" s="1"/>
  <c r="G70" i="42" s="1"/>
  <c r="H306" i="61"/>
  <c r="F65" i="42" s="1"/>
  <c r="G65" i="42" s="1"/>
  <c r="H297" i="61"/>
  <c r="F64" i="42" s="1"/>
  <c r="G64" i="42" s="1"/>
  <c r="H287" i="61"/>
  <c r="F63" i="42" s="1"/>
  <c r="G63" i="42" s="1"/>
  <c r="H256" i="61"/>
  <c r="F59" i="42" s="1"/>
  <c r="G59" i="42" s="1"/>
  <c r="H236" i="61"/>
  <c r="F57" i="42" s="1"/>
  <c r="G57" i="42" s="1"/>
  <c r="H225" i="61"/>
  <c r="H203" i="61"/>
  <c r="F49" i="42" s="1"/>
  <c r="G49" i="42" s="1"/>
  <c r="H185" i="61"/>
  <c r="H187" i="61" s="1"/>
  <c r="F44" i="42" s="1"/>
  <c r="G44" i="42" s="1"/>
  <c r="H179" i="61"/>
  <c r="F43" i="42" s="1"/>
  <c r="G43" i="42" s="1"/>
  <c r="H170" i="61"/>
  <c r="F42" i="42" s="1"/>
  <c r="G42" i="42" s="1"/>
  <c r="H158" i="61"/>
  <c r="H159" i="61" s="1"/>
  <c r="F41" i="42" s="1"/>
  <c r="G41" i="42" s="1"/>
  <c r="H144" i="61"/>
  <c r="H146" i="61" s="1"/>
  <c r="F39" i="42" s="1"/>
  <c r="G39" i="42" s="1"/>
  <c r="H124" i="61"/>
  <c r="F37" i="42" s="1"/>
  <c r="G37" i="42" s="1"/>
  <c r="H118" i="61"/>
  <c r="F36" i="42" s="1"/>
  <c r="G36" i="42" s="1"/>
  <c r="D68" i="61"/>
  <c r="G59" i="61"/>
  <c r="G58" i="61"/>
  <c r="D59" i="61"/>
  <c r="D58" i="61"/>
  <c r="C59" i="61"/>
  <c r="C58" i="61"/>
  <c r="G54" i="61"/>
  <c r="G53" i="61"/>
  <c r="D54" i="61"/>
  <c r="C54" i="61"/>
  <c r="C53" i="61"/>
  <c r="D53" i="61"/>
  <c r="C41" i="61"/>
  <c r="F36" i="61"/>
  <c r="H36" i="61" s="1"/>
  <c r="H31" i="61"/>
  <c r="H32" i="61"/>
  <c r="H33" i="61"/>
  <c r="H34" i="61"/>
  <c r="G35" i="61"/>
  <c r="H35" i="61" s="1"/>
  <c r="C35" i="61"/>
  <c r="D35" i="61"/>
  <c r="H30" i="61"/>
  <c r="G48" i="61"/>
  <c r="D48" i="61"/>
  <c r="C48" i="61"/>
  <c r="G47" i="61"/>
  <c r="D47" i="61"/>
  <c r="C47" i="61"/>
  <c r="G80" i="42" l="1"/>
  <c r="F98" i="42"/>
  <c r="G98" i="42" s="1"/>
  <c r="F110" i="42"/>
  <c r="G110" i="42" s="1"/>
  <c r="F67" i="42"/>
  <c r="G67" i="42" s="1"/>
  <c r="F60" i="42"/>
  <c r="G60" i="42" s="1"/>
  <c r="G81" i="42"/>
  <c r="XEZ256" i="61"/>
  <c r="H37" i="61"/>
  <c r="D105" i="61"/>
  <c r="D100" i="61"/>
  <c r="G95" i="61"/>
  <c r="C95" i="61"/>
  <c r="D95" i="61"/>
  <c r="D86" i="61"/>
  <c r="G26" i="42"/>
  <c r="H80" i="61"/>
  <c r="H70" i="61"/>
  <c r="H69" i="61"/>
  <c r="H74" i="61"/>
  <c r="D64" i="61"/>
  <c r="H65" i="61"/>
  <c r="D57" i="61"/>
  <c r="H59" i="61"/>
  <c r="H58" i="61"/>
  <c r="D52" i="61"/>
  <c r="H54" i="61"/>
  <c r="H53" i="61"/>
  <c r="H48" i="61"/>
  <c r="H47" i="61"/>
  <c r="G41" i="61"/>
  <c r="H42" i="61"/>
  <c r="D41" i="61"/>
  <c r="A8" i="59"/>
  <c r="A6" i="59"/>
  <c r="A6" i="62" s="1"/>
  <c r="A7" i="57"/>
  <c r="A5" i="57"/>
  <c r="A8" i="61"/>
  <c r="A6" i="61"/>
  <c r="H76" i="61" l="1"/>
  <c r="H71" i="61"/>
  <c r="F21" i="42" s="1"/>
  <c r="G21" i="42" s="1"/>
  <c r="H60" i="61"/>
  <c r="F19" i="42" s="1"/>
  <c r="G19" i="42" s="1"/>
  <c r="H55" i="61"/>
  <c r="F18" i="42" s="1"/>
  <c r="G18" i="42" s="1"/>
  <c r="H66" i="61"/>
  <c r="F20" i="42" s="1"/>
  <c r="G20" i="42" s="1"/>
  <c r="H49" i="61"/>
  <c r="P12" i="57"/>
  <c r="P13" i="57"/>
  <c r="P14" i="57"/>
  <c r="P15" i="57"/>
  <c r="P11" i="57"/>
  <c r="B20" i="57"/>
  <c r="A14" i="57"/>
  <c r="A15" i="57" s="1"/>
  <c r="B12" i="57"/>
  <c r="H311" i="61" l="1"/>
  <c r="H319" i="61" s="1"/>
  <c r="F66" i="42" s="1"/>
  <c r="H273" i="61"/>
  <c r="H240" i="61"/>
  <c r="H241" i="61"/>
  <c r="H242" i="61"/>
  <c r="H243" i="61"/>
  <c r="H239" i="61"/>
  <c r="H218" i="61"/>
  <c r="H211" i="61"/>
  <c r="H214" i="61" s="1"/>
  <c r="F52" i="42" s="1"/>
  <c r="G52" i="42" s="1"/>
  <c r="H206" i="61"/>
  <c r="H151" i="61"/>
  <c r="D127" i="61"/>
  <c r="H128" i="61"/>
  <c r="H136" i="61" s="1"/>
  <c r="F38" i="42" s="1"/>
  <c r="G38" i="42" s="1"/>
  <c r="H112" i="61"/>
  <c r="F35" i="42" s="1"/>
  <c r="G35" i="42" s="1"/>
  <c r="H106" i="61"/>
  <c r="H108" i="61" s="1"/>
  <c r="F34" i="42" s="1"/>
  <c r="G34" i="42" s="1"/>
  <c r="H101" i="61"/>
  <c r="F96" i="61"/>
  <c r="G96" i="61"/>
  <c r="E94" i="61"/>
  <c r="D94" i="61"/>
  <c r="H95" i="61"/>
  <c r="E86" i="61"/>
  <c r="H87" i="61"/>
  <c r="H88" i="61" s="1"/>
  <c r="F29" i="42" s="1"/>
  <c r="E78" i="61"/>
  <c r="D78" i="61"/>
  <c r="H79" i="61"/>
  <c r="H81" i="61" s="1"/>
  <c r="D73" i="61"/>
  <c r="F17" i="42"/>
  <c r="G17" i="42" s="1"/>
  <c r="D46" i="61"/>
  <c r="H41" i="61"/>
  <c r="H43" i="61" s="1"/>
  <c r="D40" i="61"/>
  <c r="F14" i="42"/>
  <c r="D29" i="61"/>
  <c r="G25" i="61"/>
  <c r="F25" i="61"/>
  <c r="H24" i="61"/>
  <c r="C25" i="61"/>
  <c r="D25" i="61"/>
  <c r="D23" i="61"/>
  <c r="D24" i="61" s="1"/>
  <c r="E14" i="42"/>
  <c r="M33" i="59"/>
  <c r="L33" i="59"/>
  <c r="K33" i="59"/>
  <c r="J33" i="59"/>
  <c r="M28" i="59"/>
  <c r="L28" i="59"/>
  <c r="K28" i="59"/>
  <c r="J28" i="59"/>
  <c r="M19" i="59"/>
  <c r="L19" i="59"/>
  <c r="K19" i="59"/>
  <c r="J19" i="59"/>
  <c r="E5" i="57"/>
  <c r="G14" i="42" l="1"/>
  <c r="M35" i="59"/>
  <c r="H244" i="61"/>
  <c r="F58" i="42" s="1"/>
  <c r="G58" i="42" s="1"/>
  <c r="H154" i="61"/>
  <c r="F40" i="42" s="1"/>
  <c r="G40" i="42" s="1"/>
  <c r="F22" i="42"/>
  <c r="G22" i="42" s="1"/>
  <c r="G29" i="42"/>
  <c r="F23" i="42"/>
  <c r="G23" i="42" s="1"/>
  <c r="G66" i="42"/>
  <c r="H278" i="61"/>
  <c r="H227" i="61"/>
  <c r="F54" i="42" s="1"/>
  <c r="G54" i="42" s="1"/>
  <c r="H207" i="61"/>
  <c r="F51" i="42" s="1"/>
  <c r="G51" i="42" s="1"/>
  <c r="H220" i="61"/>
  <c r="F53" i="42" s="1"/>
  <c r="G53" i="42" s="1"/>
  <c r="H96" i="61"/>
  <c r="H97" i="61" s="1"/>
  <c r="H102" i="61"/>
  <c r="F16" i="42"/>
  <c r="G16" i="42" s="1"/>
  <c r="H25" i="61"/>
  <c r="H27" i="61" s="1"/>
  <c r="F144" i="42" s="1"/>
  <c r="G144" i="42" s="1"/>
  <c r="G141" i="42" s="1"/>
  <c r="C14" i="57" s="1"/>
  <c r="F15" i="42"/>
  <c r="G15" i="42" s="1"/>
  <c r="L35" i="59"/>
  <c r="G25" i="42" l="1"/>
  <c r="F61" i="42"/>
  <c r="G61" i="42" s="1"/>
  <c r="F68" i="42"/>
  <c r="G68" i="42" s="1"/>
  <c r="F33" i="42"/>
  <c r="G33" i="42" s="1"/>
  <c r="F32" i="42"/>
  <c r="G32" i="42" s="1"/>
  <c r="G28" i="42"/>
  <c r="G27" i="42"/>
  <c r="F13" i="42"/>
  <c r="G13" i="42" s="1"/>
  <c r="G12" i="42" l="1"/>
  <c r="G31" i="42"/>
  <c r="G47" i="42"/>
  <c r="E14" i="57"/>
  <c r="F14" i="57" s="1"/>
  <c r="C13" i="57" l="1"/>
  <c r="G149" i="42"/>
  <c r="C20" i="57"/>
  <c r="E20" i="57" s="1"/>
  <c r="F15" i="57"/>
  <c r="C11" i="57"/>
  <c r="N14" i="57"/>
  <c r="J14" i="57"/>
  <c r="H14" i="57"/>
  <c r="L14" i="57"/>
  <c r="A96" i="57"/>
  <c r="G150" i="42" l="1"/>
  <c r="C22" i="57"/>
  <c r="L15" i="57"/>
  <c r="J15" i="57"/>
  <c r="N15" i="57"/>
  <c r="H15" i="57"/>
  <c r="E11" i="57"/>
  <c r="F11" i="57" s="1"/>
  <c r="H11" i="57" s="1"/>
  <c r="E13" i="57"/>
  <c r="F13" i="57" s="1"/>
  <c r="G155" i="42" l="1"/>
  <c r="J13" i="57"/>
  <c r="L13" i="57"/>
  <c r="H13" i="57"/>
  <c r="N13" i="57"/>
  <c r="E57" i="57"/>
  <c r="E102" i="57" s="1"/>
  <c r="E8" i="61"/>
  <c r="G8" i="61"/>
  <c r="A6" i="55"/>
  <c r="M8" i="59"/>
  <c r="D6" i="55"/>
  <c r="A8" i="55"/>
  <c r="G8" i="55"/>
  <c r="F7" i="42"/>
  <c r="A3" i="57"/>
  <c r="A53" i="57" s="1"/>
  <c r="A98" i="57" s="1"/>
  <c r="E55" i="57"/>
  <c r="E100" i="57" s="1"/>
  <c r="A57" i="57"/>
  <c r="A102" i="57" s="1"/>
  <c r="A55" i="57"/>
  <c r="A100" i="57" s="1"/>
  <c r="A13" i="55"/>
  <c r="H37" i="55"/>
  <c r="C39" i="55" s="1"/>
  <c r="C27" i="55"/>
  <c r="D8" i="55"/>
  <c r="H150" i="42" l="1"/>
  <c r="H45" i="42"/>
  <c r="H77" i="42"/>
  <c r="H93" i="42"/>
  <c r="H109" i="42"/>
  <c r="H125" i="42"/>
  <c r="H141" i="42"/>
  <c r="H112" i="42"/>
  <c r="H152" i="42"/>
  <c r="H30" i="42"/>
  <c r="H46" i="42"/>
  <c r="H62" i="42"/>
  <c r="H78" i="42"/>
  <c r="H94" i="42"/>
  <c r="H110" i="42"/>
  <c r="H126" i="42"/>
  <c r="H142" i="42"/>
  <c r="H24" i="42"/>
  <c r="H64" i="42"/>
  <c r="H116" i="42"/>
  <c r="H19" i="42"/>
  <c r="H35" i="42"/>
  <c r="H55" i="42"/>
  <c r="H71" i="42"/>
  <c r="H87" i="42"/>
  <c r="H103" i="42"/>
  <c r="H119" i="42"/>
  <c r="H135" i="42"/>
  <c r="H151" i="42"/>
  <c r="H36" i="42"/>
  <c r="H84" i="42"/>
  <c r="H136" i="42"/>
  <c r="H122" i="42"/>
  <c r="H99" i="42"/>
  <c r="H124" i="42"/>
  <c r="H49" i="42"/>
  <c r="H65" i="42"/>
  <c r="H81" i="42"/>
  <c r="H97" i="42"/>
  <c r="H113" i="42"/>
  <c r="H129" i="42"/>
  <c r="H145" i="42"/>
  <c r="H28" i="42"/>
  <c r="H80" i="42"/>
  <c r="H120" i="42"/>
  <c r="H18" i="42"/>
  <c r="H34" i="42"/>
  <c r="H50" i="42"/>
  <c r="H82" i="42"/>
  <c r="H98" i="42"/>
  <c r="H114" i="42"/>
  <c r="H130" i="42"/>
  <c r="H146" i="42"/>
  <c r="H76" i="42"/>
  <c r="H128" i="42"/>
  <c r="H39" i="42"/>
  <c r="H59" i="42"/>
  <c r="H75" i="42"/>
  <c r="H91" i="42"/>
  <c r="H107" i="42"/>
  <c r="H123" i="42"/>
  <c r="H139" i="42"/>
  <c r="H155" i="42"/>
  <c r="H48" i="42"/>
  <c r="H96" i="42"/>
  <c r="H148" i="42"/>
  <c r="H41" i="42"/>
  <c r="H73" i="42"/>
  <c r="H105" i="42"/>
  <c r="H137" i="42"/>
  <c r="H14" i="42"/>
  <c r="H104" i="42"/>
  <c r="H26" i="42"/>
  <c r="H58" i="42"/>
  <c r="H90" i="42"/>
  <c r="H138" i="42"/>
  <c r="H100" i="42"/>
  <c r="H67" i="42"/>
  <c r="H115" i="42"/>
  <c r="H147" i="42"/>
  <c r="H72" i="42"/>
  <c r="H21" i="42"/>
  <c r="H37" i="42"/>
  <c r="H69" i="42"/>
  <c r="H85" i="42"/>
  <c r="H101" i="42"/>
  <c r="H117" i="42"/>
  <c r="H133" i="42"/>
  <c r="H153" i="42"/>
  <c r="H44" i="42"/>
  <c r="H92" i="42"/>
  <c r="H132" i="42"/>
  <c r="H38" i="42"/>
  <c r="H70" i="42"/>
  <c r="H86" i="42"/>
  <c r="H102" i="42"/>
  <c r="H118" i="42"/>
  <c r="H134" i="42"/>
  <c r="H154" i="42"/>
  <c r="H88" i="42"/>
  <c r="H140" i="42"/>
  <c r="H27" i="42"/>
  <c r="H43" i="42"/>
  <c r="H63" i="42"/>
  <c r="H79" i="42"/>
  <c r="H95" i="42"/>
  <c r="H111" i="42"/>
  <c r="H127" i="42"/>
  <c r="H143" i="42"/>
  <c r="H60" i="42"/>
  <c r="H108" i="42"/>
  <c r="H17" i="42"/>
  <c r="H57" i="42"/>
  <c r="H89" i="42"/>
  <c r="H121" i="42"/>
  <c r="H56" i="42"/>
  <c r="H144" i="42"/>
  <c r="H42" i="42"/>
  <c r="H74" i="42"/>
  <c r="H106" i="42"/>
  <c r="H15" i="42"/>
  <c r="H52" i="42"/>
  <c r="H51" i="42"/>
  <c r="H83" i="42"/>
  <c r="H131" i="42"/>
  <c r="H20" i="42"/>
  <c r="G7" i="57"/>
  <c r="H66" i="42"/>
  <c r="H23" i="42"/>
  <c r="H40" i="42"/>
  <c r="H22" i="42"/>
  <c r="H29" i="42"/>
  <c r="H16" i="42"/>
  <c r="H25" i="42"/>
  <c r="H53" i="42"/>
  <c r="H54" i="42"/>
  <c r="H13" i="42"/>
  <c r="H32" i="42"/>
  <c r="H61" i="42"/>
  <c r="H33" i="42"/>
  <c r="H68" i="42"/>
  <c r="H12" i="42"/>
  <c r="H31" i="42"/>
  <c r="H47" i="42"/>
  <c r="H149" i="42"/>
  <c r="E14" i="55"/>
  <c r="E14" i="62"/>
  <c r="C46" i="55"/>
  <c r="J11" i="57" l="1"/>
  <c r="C12" i="57" l="1"/>
  <c r="C16" i="57" s="1"/>
  <c r="F20" i="57"/>
  <c r="E22" i="57"/>
  <c r="E12" i="57" l="1"/>
  <c r="E16" i="57" s="1"/>
  <c r="F22" i="57"/>
  <c r="C24" i="57"/>
  <c r="F12" i="57" l="1"/>
  <c r="J12" i="57" s="1"/>
  <c r="J16" i="57" s="1"/>
  <c r="E24" i="57"/>
  <c r="H12" i="57" l="1"/>
  <c r="H16" i="57" s="1"/>
  <c r="L12" i="57"/>
  <c r="L16" i="57" s="1"/>
  <c r="N12" i="57"/>
  <c r="N16" i="57" s="1"/>
  <c r="D12" i="57"/>
  <c r="F16" i="57"/>
  <c r="D14" i="57" l="1"/>
  <c r="D20" i="57"/>
  <c r="D22" i="57" s="1"/>
  <c r="D11" i="57"/>
  <c r="D13" i="57"/>
  <c r="G57" i="57"/>
  <c r="J57" i="57" s="1"/>
  <c r="D15" i="57"/>
  <c r="F24" i="57"/>
  <c r="M16" i="57"/>
  <c r="K16" i="57"/>
  <c r="I16" i="57"/>
  <c r="I20" i="57" s="1"/>
  <c r="G16" i="57"/>
  <c r="D16" i="57" l="1"/>
  <c r="D24" i="57" s="1"/>
  <c r="G102" i="57"/>
  <c r="J102" i="57" s="1"/>
  <c r="M20" i="57"/>
  <c r="N20" i="57" s="1"/>
  <c r="M22" i="57"/>
  <c r="N22" i="57" s="1"/>
  <c r="N24" i="57" s="1"/>
  <c r="K22" i="57"/>
  <c r="L22" i="57" s="1"/>
  <c r="L24" i="57" s="1"/>
  <c r="K20" i="57"/>
  <c r="L20" i="57" s="1"/>
  <c r="G20" i="57"/>
  <c r="O16" i="57"/>
  <c r="J20" i="57"/>
  <c r="J22" i="57" s="1"/>
  <c r="J24" i="57" s="1"/>
  <c r="R12" i="57" s="1"/>
  <c r="I22" i="57"/>
  <c r="K24" i="57" l="1"/>
  <c r="R13" i="57"/>
  <c r="M24" i="57"/>
  <c r="R14" i="57"/>
  <c r="I24" i="57"/>
  <c r="G22" i="57"/>
  <c r="O20" i="57"/>
  <c r="H20" i="57"/>
  <c r="H22" i="57" s="1"/>
  <c r="H24" i="57" s="1"/>
  <c r="R11" i="57" s="1"/>
  <c r="H25" i="57" l="1"/>
  <c r="J25" i="57" s="1"/>
  <c r="G24" i="57"/>
  <c r="G25" i="57" s="1"/>
  <c r="O25" i="57" l="1"/>
  <c r="L25" i="57"/>
  <c r="N25" i="57" s="1"/>
  <c r="I25" i="57"/>
  <c r="K25" i="57" s="1"/>
  <c r="M25" i="57" s="1"/>
</calcChain>
</file>

<file path=xl/sharedStrings.xml><?xml version="1.0" encoding="utf-8"?>
<sst xmlns="http://schemas.openxmlformats.org/spreadsheetml/2006/main" count="1621" uniqueCount="597">
  <si>
    <t>%</t>
  </si>
  <si>
    <t>M2</t>
  </si>
  <si>
    <t>UND</t>
  </si>
  <si>
    <t>DESCRIÇÃO</t>
  </si>
  <si>
    <t>PREÇO(R$)</t>
  </si>
  <si>
    <t>PREÇO TOTAL (R$)</t>
  </si>
  <si>
    <t>Obra:</t>
  </si>
  <si>
    <t>Endereço:</t>
  </si>
  <si>
    <t>Data:</t>
  </si>
  <si>
    <t>Área (m²):</t>
  </si>
  <si>
    <t>REFERÊNCIA</t>
  </si>
  <si>
    <t>TOTAL</t>
  </si>
  <si>
    <t>SERVIÇOS FINAIS E DESMOBILIZAÇÃO</t>
  </si>
  <si>
    <t>Área (m2):</t>
  </si>
  <si>
    <t>Valor Total (R$):</t>
  </si>
  <si>
    <t>Custo p/m2 (R$):</t>
  </si>
  <si>
    <t>CRONOGRAMA FÍSICO-FINANCEIRO</t>
  </si>
  <si>
    <t>ITEM</t>
  </si>
  <si>
    <t>SERVIÇOS</t>
  </si>
  <si>
    <t>V. ITEM (R$)</t>
  </si>
  <si>
    <t>30 Dias</t>
  </si>
  <si>
    <t>60 Dias</t>
  </si>
  <si>
    <t>Valor(R$)</t>
  </si>
  <si>
    <t>TOTAL GERAL</t>
  </si>
  <si>
    <t>TOTAL ACUMULADO</t>
  </si>
  <si>
    <t>COM DESONERAÇÃO</t>
  </si>
  <si>
    <t>SEM DESONERAÇÃO</t>
  </si>
  <si>
    <t>HORISTA          %</t>
  </si>
  <si>
    <t>MENSALISTA       %</t>
  </si>
  <si>
    <t>A1</t>
  </si>
  <si>
    <t>INSS</t>
  </si>
  <si>
    <t>A2</t>
  </si>
  <si>
    <t>A3</t>
  </si>
  <si>
    <t>A4</t>
  </si>
  <si>
    <t>A7</t>
  </si>
  <si>
    <t>A8</t>
  </si>
  <si>
    <t>FGTS</t>
  </si>
  <si>
    <t>A</t>
  </si>
  <si>
    <t>GRUPO B</t>
  </si>
  <si>
    <t>B1</t>
  </si>
  <si>
    <t>REPOUSO SEMANAL REMUNERADO</t>
  </si>
  <si>
    <t>B2</t>
  </si>
  <si>
    <t>FERIADOS</t>
  </si>
  <si>
    <t>B3</t>
  </si>
  <si>
    <t>B4</t>
  </si>
  <si>
    <t>B5</t>
  </si>
  <si>
    <t>LICENÇA PATERNIDADE</t>
  </si>
  <si>
    <t>B6</t>
  </si>
  <si>
    <t>B7</t>
  </si>
  <si>
    <t>B</t>
  </si>
  <si>
    <t>GRUPO C</t>
  </si>
  <si>
    <t>C1</t>
  </si>
  <si>
    <t>C2</t>
  </si>
  <si>
    <t>C</t>
  </si>
  <si>
    <t>REVISÃO:</t>
  </si>
  <si>
    <t>CLIENTE: UNIVERSIDADE FEDERAL DA BAHIA</t>
  </si>
  <si>
    <t>DATA:</t>
  </si>
  <si>
    <t>BDI APLICADO NA OBRA</t>
  </si>
  <si>
    <t>FAIXAS DE ADMISSIBILIDADE DE ACORDO COM O ACORDÃO N. 2622/2013 DO TCU</t>
  </si>
  <si>
    <t xml:space="preserve">DISCRIMINAÇÃO </t>
  </si>
  <si>
    <t>PERC.     (%)</t>
  </si>
  <si>
    <t>MÍNIMO</t>
  </si>
  <si>
    <t>MÉDIO</t>
  </si>
  <si>
    <t>MÁXIMO</t>
  </si>
  <si>
    <t>1.00</t>
  </si>
  <si>
    <t xml:space="preserve"> Despesas Indiretas</t>
  </si>
  <si>
    <t>Seguro e Garantia</t>
  </si>
  <si>
    <t>Riscos e Imprevistos</t>
  </si>
  <si>
    <t>Despesas Financeiras</t>
  </si>
  <si>
    <t>Administração Central</t>
  </si>
  <si>
    <t>Total do Grupo A =</t>
  </si>
  <si>
    <t>2.00</t>
  </si>
  <si>
    <t>Benefício</t>
  </si>
  <si>
    <t>B-1</t>
  </si>
  <si>
    <t>LUCRO</t>
  </si>
  <si>
    <t>Total do Grupo B =</t>
  </si>
  <si>
    <t>3.00</t>
  </si>
  <si>
    <t>Impostos</t>
  </si>
  <si>
    <t>CÁLCULO DO ISS</t>
  </si>
  <si>
    <t>C-1</t>
  </si>
  <si>
    <t>PIS / PASEP</t>
  </si>
  <si>
    <t>ALÍQUOTA MUNICIPAL (%)</t>
  </si>
  <si>
    <t>% DE MÃO DE OBRA</t>
  </si>
  <si>
    <t>ALÍQUOTA FINAL (%)</t>
  </si>
  <si>
    <t>C-2</t>
  </si>
  <si>
    <t>COFINS</t>
  </si>
  <si>
    <t>C-3</t>
  </si>
  <si>
    <t>ISS</t>
  </si>
  <si>
    <t>C-4</t>
  </si>
  <si>
    <t>Total do Grupo C =</t>
  </si>
  <si>
    <t>VALORES DO BDI PARA CONSTRUÇÃO DE EDIFÍCIOS DE ACORDO COM O ACORDÃO N. 2622/2013 DO TCU</t>
  </si>
  <si>
    <t>Fórmula Para Cálculo do B.D.I</t>
  </si>
  <si>
    <t>BDI =(((1+A4+A1+A2)*(1+A3)*(1+B1))/(1-C))-1</t>
  </si>
  <si>
    <t>1º QUARTIL</t>
  </si>
  <si>
    <t>3º QUARTIL</t>
  </si>
  <si>
    <t>Bonificação Sobre Despesas indiretas (B.D.I) =</t>
  </si>
  <si>
    <t>CPRB (Contribuição Previdenciária sobre a Receita Bruta)</t>
  </si>
  <si>
    <t>SUBTOTAL   I   (SERVIÇOS)</t>
  </si>
  <si>
    <t>SUBTOTAL   II  (ADM LOCAL)</t>
  </si>
  <si>
    <t>QUANTIDADE</t>
  </si>
  <si>
    <t>ATUALIZAÇÃO</t>
  </si>
  <si>
    <t>ATUALIZAÇÃO:</t>
  </si>
  <si>
    <t>Atualização</t>
  </si>
  <si>
    <t>MEMÓRIA DE CALCULO DO BDI - SERVIÇOS</t>
  </si>
  <si>
    <t>MEMÓRIA DE CÁLCULO DO BDI</t>
  </si>
  <si>
    <t>B.D.I.</t>
  </si>
  <si>
    <t>V.TOTAL(R$)           c/ B.D.I.</t>
  </si>
  <si>
    <t>M</t>
  </si>
  <si>
    <t>5.2</t>
  </si>
  <si>
    <t>H</t>
  </si>
  <si>
    <t xml:space="preserve">ADMINISTRAÇÃO LOCAL </t>
  </si>
  <si>
    <t>MÊS</t>
  </si>
  <si>
    <t>M3</t>
  </si>
  <si>
    <t>M3XKM</t>
  </si>
  <si>
    <t>SERVENTE COM ENCARGOS COMPLEMENTARES</t>
  </si>
  <si>
    <t>COMPOSIÇÕES DE PREÇOS</t>
  </si>
  <si>
    <t>PEDREIRO COM ENCARGOS COMPLEMENTARES</t>
  </si>
  <si>
    <t>QTD</t>
  </si>
  <si>
    <t>P.UNIT</t>
  </si>
  <si>
    <t>P.TOTAL</t>
  </si>
  <si>
    <t>COMPOSIÇÃO</t>
  </si>
  <si>
    <t>INSUMO</t>
  </si>
  <si>
    <t>1.1</t>
  </si>
  <si>
    <t>1.3</t>
  </si>
  <si>
    <t>1.4</t>
  </si>
  <si>
    <t>2.1</t>
  </si>
  <si>
    <t>4.1</t>
  </si>
  <si>
    <t>2.2</t>
  </si>
  <si>
    <t>3.1</t>
  </si>
  <si>
    <t>3.2</t>
  </si>
  <si>
    <t>3.3</t>
  </si>
  <si>
    <t>4.2</t>
  </si>
  <si>
    <t>4.3</t>
  </si>
  <si>
    <t>4.4</t>
  </si>
  <si>
    <t>3.4</t>
  </si>
  <si>
    <t>5.1</t>
  </si>
  <si>
    <t>3.5</t>
  </si>
  <si>
    <t>3.6</t>
  </si>
  <si>
    <t>3.7</t>
  </si>
  <si>
    <t>3.8</t>
  </si>
  <si>
    <t>3.9</t>
  </si>
  <si>
    <t>3.10</t>
  </si>
  <si>
    <t>3.11</t>
  </si>
  <si>
    <t>3.12</t>
  </si>
  <si>
    <t>4.5</t>
  </si>
  <si>
    <t>4.6</t>
  </si>
  <si>
    <t>4.7</t>
  </si>
  <si>
    <t>4.8</t>
  </si>
  <si>
    <t>4.9</t>
  </si>
  <si>
    <t>4.10</t>
  </si>
  <si>
    <t>4.11</t>
  </si>
  <si>
    <t>4.12</t>
  </si>
  <si>
    <t>AUXILIAR DE ELETRICISTA COM ENCARGOS COMPLEMENTARES</t>
  </si>
  <si>
    <t>4.13</t>
  </si>
  <si>
    <t>1.2</t>
  </si>
  <si>
    <t>5.3</t>
  </si>
  <si>
    <t>5.4</t>
  </si>
  <si>
    <t>5.5</t>
  </si>
  <si>
    <t>5.6</t>
  </si>
  <si>
    <t>Área (m²)</t>
  </si>
  <si>
    <t>4.14</t>
  </si>
  <si>
    <t>4.15</t>
  </si>
  <si>
    <t>1.5</t>
  </si>
  <si>
    <t>OHS TECNOLOGIA EM SERVIÇOS EIRELI</t>
  </si>
  <si>
    <t>RUA JOAO DAMASCENO DE JESUS, 78, FALPÃO, CHESFE, CATU-BAHIA</t>
  </si>
  <si>
    <t>ENCARGOS SOCIAIS SOBRE A MÃO DE OBRA                                        OPTANTE PELO SIMPLES NACIONAL-SEM DESONERAÇÃO</t>
  </si>
  <si>
    <t>ESTADO BAHIA</t>
  </si>
  <si>
    <t>RAT</t>
  </si>
  <si>
    <t>FÉRIAS</t>
  </si>
  <si>
    <t>AVISO PRÉVIO</t>
  </si>
  <si>
    <t>AUXILIO DEONÇA (PREVIDENCIÁRIA/ACIDENTARIO)</t>
  </si>
  <si>
    <t>13º SALÁRIO</t>
  </si>
  <si>
    <t>MULTA RECISÓRIA DE 40% DO FGTS NAS DISPENSAS SEM JUSTA CAUSA</t>
  </si>
  <si>
    <t>ADICIONAL DE 10% REFERENTE A LEI COMPLEMENTAR Nº 110/01</t>
  </si>
  <si>
    <t>INCIDENCIA DO GRUPO A SOBRE O GRUPO B</t>
  </si>
  <si>
    <t>TOTAL (A+B+C)</t>
  </si>
  <si>
    <t>MOBILIZAÇÃO E SERVIÇOS PRELIMINARES</t>
  </si>
  <si>
    <t xml:space="preserve">CAMINHÃO TOCO, PBT 14.300 KG, CARGA ÚTIL MÁX. 9.710 KG, DIST. ENTRE EXOS 3,56 M, POTÊNCIA 185 CV, INCLUSIVE CARROCERIA FIXA ABERTA DE MADEIRA P/ TRANSPORTE GERAL DE CARGA SECA, DIMEN. APROX. 2,50 X 6,50 X 0,50 M - CHP DIURNO. AF_06/2014  </t>
  </si>
  <si>
    <t xml:space="preserve">PLACA DE OBRA EM CHAPA DE ACO GALVANIZADO </t>
  </si>
  <si>
    <t>1.6</t>
  </si>
  <si>
    <t>1.7</t>
  </si>
  <si>
    <t>TRANSPORTE COM CAMINHÃO BASCULANTE DE 6 M3, EM VIA URBANA PAVIMENTADA, DMT ATÉ 30 KM (UNIDADE: M3XKM). AF_01/2018</t>
  </si>
  <si>
    <t>MOTORISTA DE CAMINHÃO COM ENCARGOS COMPLEMENTARES</t>
  </si>
  <si>
    <t>REF</t>
  </si>
  <si>
    <t>M²</t>
  </si>
  <si>
    <t>Prego de aco polido com cabeca 18 x 30 (2 3/4 x 10)</t>
  </si>
  <si>
    <t>Madeira mista serrada (barrote) 6 x 6cm - 0,0036 m3/m (angelim, louro)</t>
  </si>
  <si>
    <t>m</t>
  </si>
  <si>
    <t>M³</t>
  </si>
  <si>
    <t>2.3</t>
  </si>
  <si>
    <t>2.4</t>
  </si>
  <si>
    <t>3.13</t>
  </si>
  <si>
    <t>PAVIMENTAÇÃO</t>
  </si>
  <si>
    <t>KG</t>
  </si>
  <si>
    <t>ESQUADRIAS</t>
  </si>
  <si>
    <t>INSTALAÇÕES ELÉTRICAS</t>
  </si>
  <si>
    <t>02450/ORSE</t>
  </si>
  <si>
    <t>LIMPEZA GERAL</t>
  </si>
  <si>
    <t>05075/SINAPI</t>
  </si>
  <si>
    <t>Rejunte colorido flexivel para revestimentos cerâmicos</t>
  </si>
  <si>
    <t>02540/ORSE</t>
  </si>
  <si>
    <t>Carpinteiro de formas</t>
  </si>
  <si>
    <t>01213/SINAPI</t>
  </si>
  <si>
    <t>L</t>
  </si>
  <si>
    <t>UM</t>
  </si>
  <si>
    <t>10551/ORSE</t>
  </si>
  <si>
    <t>Encargos Complementares - Carpinteiro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</si>
  <si>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</si>
  <si>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</si>
  <si>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</si>
  <si>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</si>
  <si>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</si>
  <si>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</si>
  <si>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</si>
  <si>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</si>
  <si>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</si>
  <si>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</si>
  <si>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</si>
  <si>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</si>
  <si>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</si>
  <si>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</si>
  <si>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</si>
  <si>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</si>
  <si>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</si>
  <si>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</si>
  <si>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</si>
  <si>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</si>
  <si>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</si>
  <si>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</si>
  <si>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</si>
  <si>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</si>
  <si>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</si>
  <si>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</si>
  <si>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</si>
  <si>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</si>
  <si>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</si>
  <si>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</si>
  <si>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</si>
  <si>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</si>
  <si>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5.7</t>
  </si>
  <si>
    <t xml:space="preserve"> ORÇAMENTO</t>
  </si>
  <si>
    <t>kg</t>
  </si>
  <si>
    <t>6.1</t>
  </si>
  <si>
    <t>REMOÇÃO DE PLACA DE OBRA</t>
  </si>
  <si>
    <t>CAMINHÃO TOCO, PBT 16.000 KG, CARGA ÚTIL MÁX. 10.685 KG, DIST. ENTRE EIXOS 4,8 M, POTÊNCIA 189 CV, INCLUSIVE CARROCERIA FIXA ABERTA DE MADEIRA P/ TRANSPORTE GERAL DE CARGA SECA</t>
  </si>
  <si>
    <t>BDI</t>
  </si>
  <si>
    <t>90 Dias</t>
  </si>
  <si>
    <t>120 Dias</t>
  </si>
  <si>
    <t>AGOSOTO/2021</t>
  </si>
  <si>
    <t>UFBA - CAMPUS VITORIA DA CONQUISTA</t>
  </si>
  <si>
    <t>serviços de engenharia para conclusão de serviços no edifício do Biotério do Instituto
Multidisciplinar de Saúde</t>
  </si>
  <si>
    <t>LIMPEZA MANUAL DE VEGETAÇÃO EM TERRENO COM
ENXADA.AF_05/2018</t>
  </si>
  <si>
    <t>JARDINEIRO COM ENCARGOS COMPLEMENTARES</t>
  </si>
  <si>
    <t>DEMOLIÇÃO DE ALVENARIA DE PEDRA</t>
  </si>
  <si>
    <t>DEMOLIÇÃO DE ALVENARIA DE BLOCO FURADO, DE FORMA MANUAL,
SEM REAPROVEITAMENTO</t>
  </si>
  <si>
    <t>DEMOLIÇÃO DE ALVENARIA DE TIJOLO MACIÇO, DE FORMA MANUAL</t>
  </si>
  <si>
    <t>SERVIÇOS TOPOGRÁFICOS PARA IMPLANTAÇÃO DA OBRA</t>
  </si>
  <si>
    <t>1.8</t>
  </si>
  <si>
    <t>TRANSPORTE HORIZONTAL DE MATERIAIS E INSUMOS DIVERSOS</t>
  </si>
  <si>
    <t>1.9</t>
  </si>
  <si>
    <t>1.10</t>
  </si>
  <si>
    <t>1.11</t>
  </si>
  <si>
    <t>67826/SINAPI</t>
  </si>
  <si>
    <t>chp</t>
  </si>
  <si>
    <t>Caminhão basculante 6 m3 toco, peso bruto total 16.000 kg, carga útil máxima 11.130 kg, distância entre eixos 5,36 m, potência 185 cv, inclusive caçamba metálica - chi diurno. af_06/2014</t>
  </si>
  <si>
    <t>67827/SINAPI</t>
  </si>
  <si>
    <t>chi</t>
  </si>
  <si>
    <t>CARGA MANUAL DE MATERIAL DE SEGUNDA CATEGORIA</t>
  </si>
  <si>
    <t>ENGENHEIRO CIVIL DE OBRA JUNIOR COM ENCARGOS
COMPLEMENTARES (MEIO-PERÍODO)</t>
  </si>
  <si>
    <t>ENCARREGADO GERAL DE OBRAS COM ENCARGOS
COMPLEMENTARES</t>
  </si>
  <si>
    <t>MANUTENÇÃO DE ESCRITÓRIO</t>
  </si>
  <si>
    <t>DNIT</t>
  </si>
  <si>
    <t>LOCAÇÃO DE CONTAINER PARA ESCRITÓRIO/ALMOXARIFADO</t>
  </si>
  <si>
    <t>Locacao de container 2,30 x 6,00 m, alt. 2,50 m, com 1 sanitario, para escritorio, completo, sem divisorias internas</t>
  </si>
  <si>
    <t>10775/SINAPI</t>
  </si>
  <si>
    <t>REMOÇÃO DE PISO INTERTRAVADO COM REAPROVEITAMENTO</t>
  </si>
  <si>
    <t>ESCAVAÇÃO MANUAL H=5CM</t>
  </si>
  <si>
    <t>01569/ORSE</t>
  </si>
  <si>
    <t>Placa de obra em chapa galvanizada 26</t>
  </si>
  <si>
    <t>01776/ORSE</t>
  </si>
  <si>
    <t>m²</t>
  </si>
  <si>
    <t>Madeira mista serrada (sarrafo) 2,2 x 5,5cm - 0,00121 m³/m</t>
  </si>
  <si>
    <t>06995/ORSE</t>
  </si>
  <si>
    <t>88441/SINAPI</t>
  </si>
  <si>
    <t>Equipe de topografia - Rev 01</t>
  </si>
  <si>
    <t>09252/ORSE</t>
  </si>
  <si>
    <t>Transporte horizontal com carrinho de mão, de blocos cerâmicos furados na horizontal de 9x19x19cm (unidade: blocoxkm). af_07/2019</t>
  </si>
  <si>
    <t>100211/SINAPI</t>
  </si>
  <si>
    <t>Transporte horizontal com carrinho de mão, de sacos de 50 kg (unidade: kgxkm). af_07/2019</t>
  </si>
  <si>
    <t>100201/SINAPI</t>
  </si>
  <si>
    <t>UNXKM</t>
  </si>
  <si>
    <t>M³XKM</t>
  </si>
  <si>
    <t>Caminhão basculante 6 m3 toco, peso bruto total 16.000 kg, carga útil máxima 11.130 kg, distância entre eixos 5,36 m, potência 185 cv, inclusive caçamba metálica - chp diurno. af_06/2014</t>
  </si>
  <si>
    <t>COMPACTAÇÃO MANUAL COM COMPACTADOR A PERCUSSÃO
SAPINHO, SEM CONTROLE DO GRAU DE COMPACTAÇÃO</t>
  </si>
  <si>
    <t>Caminhao tanque 6000 l (m. benz - ATEGO 1418/42 - 136,0 hp ou equivalente)</t>
  </si>
  <si>
    <t>02459/ORSE</t>
  </si>
  <si>
    <t>02462/ORSE</t>
  </si>
  <si>
    <t>Aluguel de compactador pneumático (dynapac - lc 71 gasolina - 2,5 hp)</t>
  </si>
  <si>
    <t>EXECUÇÃO DE PASSEIO (CALÇADA) OU PISO DE CONCRETO COM CONCRETO MOLDADO IN LOCO, USINADO, ACABAMENTO CONVENCIONAL, ESPESSURA 10 CM, ARMADO</t>
  </si>
  <si>
    <t>LONA PLASTICA PESADA PRETA, E = 150 MICRA</t>
  </si>
  <si>
    <t>SARRAFO NAO APARELHADO *2,5 X 10* CM, EM MACARANDUBA, ANGELIM OU EQUIVALENTE DA REGIAO - BRUTA</t>
  </si>
  <si>
    <t xml:space="preserve"> SARRAFO *2,5 X 7,5* CM EM PINUS, MISTA OU EQUIVALENTE DA REGIAO - BRUTA</t>
  </si>
  <si>
    <t>TELA DE ACO SOLDADA NERVURADA, CA-60, Q-196, (3,11 KG/M2), DIAMETRO DO FIO= 5,0 MM, LARGURA = 2,45 M, ESPACAMENTO DA MALHA = 10 X 10 CM</t>
  </si>
  <si>
    <t xml:space="preserve"> CARPINTEIRO DE FORMAS COM ENCARGOS COMPLEMENTARES</t>
  </si>
  <si>
    <t xml:space="preserve"> CONCRETO FCK = 20MPA, TRAÇO 1:2,7:3 (EM MASSA SECA DE CIMENTO/ AREIA MÉDIA  / BRITA 1) - PREPARO MECÂNICO COM BETONEIRA 400 L. AF_05/2021</t>
  </si>
  <si>
    <t>PISO TÁTIL DIRECIONAL E/OU ALERTA, DE CONCRETO, COLORIDO, P/DEFICIENTES VISUAIS, DIMENSÕES 40X40CM, APLICADO COM ARGAMASSA INDUSTRIALIZADA AC-II, REJUNTADO, EXCLUSIVE REGULARIZAÇÃO DE BASE</t>
  </si>
  <si>
    <t>02684/ORSE</t>
  </si>
  <si>
    <t>Argamassa industrializada Votomassa AC-II, ou similar</t>
  </si>
  <si>
    <t>36178/SINAPI</t>
  </si>
  <si>
    <t>Piso podotatil de concreto - direcional e alerta, *40 x 40 x 2,5* cm</t>
  </si>
  <si>
    <t>APLICACAO DE TINTA A BASE DE EPOXI SOBRE PISO</t>
  </si>
  <si>
    <t>Tinta epoxi base agua premium, branca</t>
  </si>
  <si>
    <t>7304/SINAPI</t>
  </si>
  <si>
    <t>DEMOLIÇÃO DE CONCRETO (PASSEIO)</t>
  </si>
  <si>
    <t>ASSENTAMENTO DE GUIA (MEIO-FIO) EM TRECHO CURVO</t>
  </si>
  <si>
    <t>AREIA MEDIA - POSTO JAZIDA/FORNECEDOR (RETIRADO NA JAZIDA, SEM TRANSPORTE)</t>
  </si>
  <si>
    <t>MEIO-FIO OU GUIA DE CONCRETO, PRE-MOLDADO, COMP 1 M, *30 X 12/15* CM (H X ML1/L2)</t>
  </si>
  <si>
    <t>ARGAMASSA TRAÇO 1:3 (EM VOLUME DE CIMENTO E AREIA MÉDIA ÚMIDA), PREPARO MA NUAL. AF_08/2019</t>
  </si>
  <si>
    <t>RAMPA EM CONCRETO LISO</t>
  </si>
  <si>
    <t>LOCAÇÃO DE CONSTRUÇÃO DE EDIFICAÇÃO ATÉ 200M2, INCLUSIVE EXECUÇÃO DE GABARITO DE MADEIRA</t>
  </si>
  <si>
    <t>00048/ORSE</t>
  </si>
  <si>
    <t>Auxiliar topografia - T4 - Segundo grau completo - DNIT - Mês de ref.: 02/20</t>
  </si>
  <si>
    <t>00070/ORSE</t>
  </si>
  <si>
    <t>Topografo - T2 - Fonte DNIT - Mês de ref.: 02/20</t>
  </si>
  <si>
    <t>00345/SINAP</t>
  </si>
  <si>
    <t>Arame galvanizado 18 bwg, d = 1,24mm (0,009 kg/m)</t>
  </si>
  <si>
    <t>05067/SINAPI</t>
  </si>
  <si>
    <t>Prego de aco polido com cabeca 16 x 24 (2 1/4 x 12)</t>
  </si>
  <si>
    <t>10567/SINAPI</t>
  </si>
  <si>
    <t>Tabua *2,5 x 23* cm em pinus, mista ou equivalente da regiao - bruta</t>
  </si>
  <si>
    <t>CONSTRUÇÃO DE ABRIGO PARA GRUPO GERADOR</t>
  </si>
  <si>
    <t>FUNDAÇÕES</t>
  </si>
  <si>
    <t>ESCAVAÇÃO MANUAL H=10CM</t>
  </si>
  <si>
    <t xml:space="preserve">APLICAÇÃO DE LONA PLÁSTICA PARA EXECUÇÃO DE PAVIMENTOS
DE CONCRETO </t>
  </si>
  <si>
    <t>42408/SINAPI</t>
  </si>
  <si>
    <t>Lona plastica extra forte preta, e = 200 micra</t>
  </si>
  <si>
    <t>LASTRO DE CONCRETO MAGRO, APLICADO EM PISOS OU RADIERS, ESPESSURA DE 5CM</t>
  </si>
  <si>
    <t>Concreto magro para lastro, traço 1:4,5:4,5 (cimento/ areia média/ brita 1) - preparo mecânico com betoneira 600 l. af_07/2016</t>
  </si>
  <si>
    <t>94968/SINAPI</t>
  </si>
  <si>
    <t>PEDRA BRITADA N. 0, OU PEDRISCO (4,8 A 9,5 MM)</t>
  </si>
  <si>
    <t>BASE DO GERADOR</t>
  </si>
  <si>
    <t>ARMAÇÃO DE LAJE DE UMA ESTRUTURA CONVENCIONAL DE CONCRETO ARMADO EM UM A EDIFICAÇÃO TÉRREA OU SOBRADO UTILIZANDO AÇO CA-50 DE 10,0 MM</t>
  </si>
  <si>
    <t>39017/SINAPI</t>
  </si>
  <si>
    <t>Espacador / distanciador circular com entrada lateral, em plastico,</t>
  </si>
  <si>
    <t>Arame recozido 16 bwg, d = 1,65 mm (0,016 kg/m) ou 18 bwg, d = 1,25 mm (0,01 kg/m)</t>
  </si>
  <si>
    <t>88238/SINAPI</t>
  </si>
  <si>
    <t>Ajudante de armador com encargos complementares</t>
  </si>
  <si>
    <t>88245/SINAPI</t>
  </si>
  <si>
    <t>Armador com encargos complementares</t>
  </si>
  <si>
    <t>92803/SINAPI</t>
  </si>
  <si>
    <t>Corte e dobra de aço ca-50, diâmetro de 10,0 mm, utilizado em laje. af_12/2015</t>
  </si>
  <si>
    <t>ARMAÇÃO DE LAJE DE UMA ESTRUTURA CONVENCIONAL DE CONCRETO ARMADO EM UM A EDIFICAÇÃO TÉRREA OU SOBRADO UTILIZANDO AÇO CA-50 DE 12,5 MM</t>
  </si>
  <si>
    <t>Espacador / distanciador circular com entrada lateral, em plastico, para vergalhao *4,2 a 12,5* mm, cobrimento 20 mm</t>
  </si>
  <si>
    <t>92804/SINAPI</t>
  </si>
  <si>
    <t>Corte e dobra de aço ca-50, diâmetro de 12,5 mm, utilizado em laje. af_12/2015</t>
  </si>
  <si>
    <t>FORMA PLANA PARA FUNDAÇÕES, EM COMPENSADO RESINADO
12MM, 01 USO</t>
  </si>
  <si>
    <t>00630/ORSE</t>
  </si>
  <si>
    <t>Compensado resinado 12mm - Madeirit ou similar</t>
  </si>
  <si>
    <t>m2</t>
  </si>
  <si>
    <t>h</t>
  </si>
  <si>
    <t>02692/SINAPI</t>
  </si>
  <si>
    <t>Desmoldante protetor para formas de madeira, de base oleosaemulsionada em agua</t>
  </si>
  <si>
    <t>l</t>
  </si>
  <si>
    <t>04509/SINAPI</t>
  </si>
  <si>
    <t>Sarrafo *2,5 x 10* cm em pinus, mista ou equivalente da regiao - bruta</t>
  </si>
  <si>
    <t>Arame galvanizado 12 bwg, d = 2,76 mm (0,048 kg/m) ou 14 bwg, d = 2,11 mm (0,026 kg/m)</t>
  </si>
  <si>
    <t>LANÇAMENTO COM USO DE BALDES, ADENSAMENTO E
ACABAMENTO DE CONCRETO EM ESTRUTURAS. AF_12/2015</t>
  </si>
  <si>
    <t>88262/SINAPI</t>
  </si>
  <si>
    <t>Carpinteiro de formas com encargos complementares</t>
  </si>
  <si>
    <t>90586/SINAPI</t>
  </si>
  <si>
    <t>Vibrador de imersão, diâmetro de ponteira 45mm, motor elétrico trifásico potência de 2 cv - chp diurno. af_06/2015</t>
  </si>
  <si>
    <t>CHP</t>
  </si>
  <si>
    <t>90587/SINAPI</t>
  </si>
  <si>
    <t>Vibrador de imersão, diâmetro de ponteira 45mm, motor elétrico trifásico potência de 2 cv - chi diurno. af_06/2015</t>
  </si>
  <si>
    <t>CHI</t>
  </si>
  <si>
    <t>VIGAS</t>
  </si>
  <si>
    <t>ARMAÇÃO DE PILAR OU VIGA DE UMA ESTRUTURA CONVENCIONAL  DE CONCRETO ARMADO EM UMA EDIFICAÇÃO TÉRREA OU SOBRADO UTILIZANDO AÇO CA-50 DE 10,0 MM</t>
  </si>
  <si>
    <t>92794/SINAPI</t>
  </si>
  <si>
    <t>Corte e dobra de aço ca-50, diâmetro de 10,0 mm, utilizado em estruturas diversas, exceto lajes. af_12/2015</t>
  </si>
  <si>
    <t>ARMAÇÃO DE PILAR OU VIGA DE UMA ESTRUTURA CONVENCIONAL
DE CONCRETO ARMADO EM UMA EDIFICAÇÃO TÉRREA OU SOBRADO
UTILIZANDO AÇO CA-60 DE 5,0 MM</t>
  </si>
  <si>
    <t>92791/SINAPI</t>
  </si>
  <si>
    <t>Corte e dobra de aço ca-60, diâmetro de 5,0 mm, utilizado em estruturas diversas, exceto lajes. af_12/2015</t>
  </si>
  <si>
    <t xml:space="preserve">ARMAÇÃO DE PILAR OU VIGA DE UMA ESTRUTURA CONVENCIONAL DE CONCRETO ARMADO EM UMA EDIFICAÇÃO TÉRREA OU SOBRADO UTILIZANDO AÇO CA-50 DE 6,3 MM </t>
  </si>
  <si>
    <t>92792/SINAPI</t>
  </si>
  <si>
    <t>Corte e dobra de aço ca-50, diâmetro de 6,3 mm, utilizado em estruturas diversas, exceto lajes. af_12/2015</t>
  </si>
  <si>
    <t>FABRICAÇÃO DE FÔRMA PARA VIGAS, EM CHAPA DE MADEIRA COMPENSADA RESINADA, E = 17 MM. AF_09/2020</t>
  </si>
  <si>
    <t>Chapa de madeira compensada resinada para forma de concreto, de *2,2 x 1,1* m, e = 17 mm</t>
  </si>
  <si>
    <t>04491/SINAPI</t>
  </si>
  <si>
    <t>Pontalete *7,5 x 7,5* cm em pinus, mista ou equivalente da regiao - bruta</t>
  </si>
  <si>
    <t>04517/SINAPI</t>
  </si>
  <si>
    <t>Sarrafo *2,5 x 7,5* cm em pinus, mista ou equivalente da regiao - bruta</t>
  </si>
  <si>
    <t>05068/SINAPI</t>
  </si>
  <si>
    <t>Prego de aco polido com cabeca 17 x 21 (2 x 11)</t>
  </si>
  <si>
    <t>88239/SINAPI</t>
  </si>
  <si>
    <t>Ajudante de carpinteiro com encargos complementares</t>
  </si>
  <si>
    <t>91692/SINAPI</t>
  </si>
  <si>
    <t>Serra circular de bancada com motor elétrico potência de 5hp, com coifa para disco 10" - chp diurno. af_08/2015</t>
  </si>
  <si>
    <t>91693/SINAPI</t>
  </si>
  <si>
    <t>Serra circular de bancada com motor elétrico potência de 5hp, com coifa para disco 10" - chi diurno. af_08/2015</t>
  </si>
  <si>
    <t>PROPRIO</t>
  </si>
  <si>
    <t>CONCRETO USINADO BOMBEAVEL, CLASSE DE RESISTENCIA C25, COM BRITA 0 E 1, SLUMP =100 +/- 20 MM, EXCLUI SERVICO DE BOMBEAMENTO (NBR 8953)</t>
  </si>
  <si>
    <t>34493</t>
  </si>
  <si>
    <t>LANÇAMENTO COM USO DE BALDES, ADENSAMENTO E ACABAMENTO DE CONCRETO EM ESTRUTURAS. AF_12/2015</t>
  </si>
  <si>
    <t>COMPOSIÇÃO 4.11</t>
  </si>
  <si>
    <t>LAJE</t>
  </si>
  <si>
    <t>ARMAÇÃO DE LAJE DE UMA ESTRUTURA CONVENCIONAL DE CONCRETO ARMADO EM UMA EDIFICAÇÃO TÉRREA OU SOBRADO UTILIZANDO AÇO CA-50 DE 8,0 MM</t>
  </si>
  <si>
    <t>92802/SINAPI</t>
  </si>
  <si>
    <t>Corte e dobra de aço ca-50, diâmetro de 8,0 mm,  ilizado em laje. af_12/2015</t>
  </si>
  <si>
    <t>FABRICAÇÃO DE FÔRMA PARA LAJES, EM CHAPA DE MADEIRA COMPENSADA RESINADA, E = 17 MM. AF_09/2020</t>
  </si>
  <si>
    <t>01358/SINAPI</t>
  </si>
  <si>
    <t xml:space="preserve">88239/SINAPI </t>
  </si>
  <si>
    <t>ALVENARIAS</t>
  </si>
  <si>
    <t>ALVENARIA DE BLOCOS DE CONCRETO ESTRUTURAL 14X19X29 CM, (ESPESSURA 14CM), FBK = 4,5 MPA, PARA PAREDES COM ÁREA LÍQUIDA MAIOR OU IGUAL A 6M² COM VÃOS</t>
  </si>
  <si>
    <t>ARMAÇÃO DE PILAR OU VIGA DE UMA ESTRUTURA CONVENCIONAL DE CONCRETO ARMADO EM UMA EDIFICAÇÃO TÉRREA OU SOBRADO UTILIZANDO AÇO CA-50 DE 6,3 MM</t>
  </si>
  <si>
    <t>92873/SINAPI</t>
  </si>
  <si>
    <t>89484/SINAPI</t>
  </si>
  <si>
    <t>COMPOSIÇÃO 4.14</t>
  </si>
  <si>
    <t>COBERTURA</t>
  </si>
  <si>
    <t>TRAMA DE MADEIRA COMPOSTA POR TERÇAS PARA TELHADOS DE ATÉ 2 ÁGUAS PARA TELHA ONDULADA DE FIBROCIMENTO, METÁLICA, PLÁSTICA OU TERMOACÚSTICA, INCLUSO TRANSPORTE VERTICAL</t>
  </si>
  <si>
    <t>PINTURA IMUNIZANTE PARA MADEIRA, 2 DEMÃOS. AF_01/2021</t>
  </si>
  <si>
    <t>ALVENARIA DE BLOCO DE CIMENTO ESTRUTURAL (PLATIBANDA)</t>
  </si>
  <si>
    <t>Vedapren branco ou similar</t>
  </si>
  <si>
    <t>Kg</t>
  </si>
  <si>
    <t>04609/ORSE</t>
  </si>
  <si>
    <t>PINTOR COM ENCARGOS COMPLEMENTARES</t>
  </si>
  <si>
    <t>Viga nao aparelhada *6 x 16* cm, em macaranduba, angelim ouequivalente da regiao - bruta</t>
  </si>
  <si>
    <t>04472/SINAPI</t>
  </si>
  <si>
    <t>40568/SINAPI</t>
  </si>
  <si>
    <t>Prego de aco polido com cabeca 22 x 48 (4 1/4 x 5)</t>
  </si>
  <si>
    <t>93281/SINAPI</t>
  </si>
  <si>
    <t>Guincho elétrico de coluna, capacidade 400 kg, com moto freio, motor trifásico de 1,25 cv - chp diurno. af_03/2016</t>
  </si>
  <si>
    <t>93282/SINAPI</t>
  </si>
  <si>
    <t>Guincho elétrico de coluna, capacidade 400 kg, com moto freio, motor trifásico de 1,25 cv - chi diurno. af_03/2016</t>
  </si>
  <si>
    <t>Imunizante para madeira, incolor</t>
  </si>
  <si>
    <t>07340/SINAPI</t>
  </si>
  <si>
    <t>REVESTIMENTO</t>
  </si>
  <si>
    <t>CHAPISCO APLICADO EM ALVENARIA (COM PRESENÇA DE VÃOS) E ESTRUTURAS DE CONCRETO DE FACHADA, COM COLHER DE PEDREIRO. ARGAMASSA TRAÇO 1:3 COM PREPARO MANUAL. AF_06/2014</t>
  </si>
  <si>
    <t>MASSA ÚNICA, PARA RECEBIMENTO DE PINTURA, EM ARGAMASSA TRAÇO 1:2:8, PREPARO MANUAL, APLICADA MANUALMENTE EM FACES INTERNAS DE PAREDES, ESPESSURA DE 20MM, COM EXECUÇÃO DE TALISCAS. AF_06/2014</t>
  </si>
  <si>
    <t>APLICAÇÃO DE FUNDO SELADOR ACRÍLICO EM PAREDES, UMA DEMÃO</t>
  </si>
  <si>
    <t>APLICAÇÃO MANUAL DE PINTURA COM TINTA LÁTEX ACRÍLICA EM PAREDES, DUAS DEMÃOS. AF_06/2014</t>
  </si>
  <si>
    <t>87904/SINAPI</t>
  </si>
  <si>
    <t>87530/SINAPI</t>
  </si>
  <si>
    <t>88485/SINAPI</t>
  </si>
  <si>
    <t>00236/ORSE</t>
  </si>
  <si>
    <t>Massa acrílica</t>
  </si>
  <si>
    <t>01602/ORSE</t>
  </si>
  <si>
    <t>03767/SINAPI</t>
  </si>
  <si>
    <t>Lixa em folha para parede ou madeira, numero 120 (cor vermelha)</t>
  </si>
  <si>
    <t>88489/SINAPI</t>
  </si>
  <si>
    <t>PORTA CORTA-FOGO 90X210X4CM - FORNECIMENTO E INSTALAÇÃO. AF_12/2019</t>
  </si>
  <si>
    <t>PINTURA COM TINTA ALQUÍDICA DE ACABAMENTO (ESMALTE SINTÉTICO ACETINADO) APLICADA A ROLO OU PINCEL SOBRE SUPERFÍCIES METÁLICAS (EXCETO PERFIL) EXECUTADO EM OBRA (02 DEMÃOS). AF_01/2020</t>
  </si>
  <si>
    <t>00169/ORSE</t>
  </si>
  <si>
    <t>12592/ORSE</t>
  </si>
  <si>
    <t>Tela mosquiteiro galvanizada, malha 14, fio 30</t>
  </si>
  <si>
    <t xml:space="preserve">	11154/SINAPI</t>
  </si>
  <si>
    <t>Porta corta-fogo para saida de emergencia, com fechadura, vao luz de 90 x 210 cm, classe p-90 (nbr 11742)</t>
  </si>
  <si>
    <t>88629/SINAPI</t>
  </si>
  <si>
    <t>Argamassa traço 1:3 (em volume de cimento e areia média úmida), preparo manual. af_08/2019</t>
  </si>
  <si>
    <t>100758/SINAPI</t>
  </si>
  <si>
    <t>PASSEIO EXTERNO</t>
  </si>
  <si>
    <t>EXECUÇÃO DE PASSEIO (CALÇADA) OU PISO DE CONCRETO COM CONCRETO MOLDADO IN LOCO, USINADO, ACABAMENTO CONVENCIONAL, ESPESSURA 10 CM, ARMADO.</t>
  </si>
  <si>
    <t>APLICAÇÃO DE LONA PLÁSTICA PARA EXECUÇÃO DE PAVIMENTOS DE CONCRETO</t>
  </si>
  <si>
    <t>COMPACTAÇÃO MANUAL COM COMPACTADOR A PERCUSSÃO SAPINHO, SEM CONTROLE DO GRAU DE COMPACTAÇÃO</t>
  </si>
  <si>
    <t>93358/SINAPI</t>
  </si>
  <si>
    <t>07156/SINAPI</t>
  </si>
  <si>
    <t>Tela de aco soldada nervurada, ca-60, q-196, (3,11 kg/m2), diametro do fio = 5,0 mm, largura = 2,45 m, espacamento da malha = 10 x 10 cm</t>
  </si>
  <si>
    <t>04460/SINAPI</t>
  </si>
  <si>
    <t>Sarrafo nao aparelhado *2,5 x 10* cm, em macaranduba, angelim ou equivalente da regiao - bruta</t>
  </si>
  <si>
    <t>03777/SINAPI</t>
  </si>
  <si>
    <t>Lona plastica pesada preta, e = 150 micra</t>
  </si>
  <si>
    <t>Pedreiro com encargos complementares</t>
  </si>
  <si>
    <t>94964/SINAPI</t>
  </si>
  <si>
    <t>Concreto fck = 20mpa, traço 1:2,7:3 (em massa seca de cimento/ areia média/ brita 1) - preparo mecânico com betoneira 400 l. af_05/2021</t>
  </si>
  <si>
    <t>INFRAESTRUTURA</t>
  </si>
  <si>
    <t>REATERRO MANUAL APILOADO COM SOQUETE. AF_10/2017</t>
  </si>
  <si>
    <t>95241/SINAPI</t>
  </si>
  <si>
    <t>03454/ORSE</t>
  </si>
  <si>
    <t>Eletroduto corrugado flexível em PEAD Ø = 4", tipo Kanalex ou similar</t>
  </si>
  <si>
    <t>Eletroduto/duto pead flexivel parede simples, corrugacao helicoidal, cor preta, sem rosca, de 3", para cabeamento subterraneo (nbr 15715)</t>
  </si>
  <si>
    <t>02442/SINAP</t>
  </si>
  <si>
    <t>4.48</t>
  </si>
  <si>
    <t>4.49</t>
  </si>
  <si>
    <t>4.50</t>
  </si>
  <si>
    <t>4.51</t>
  </si>
  <si>
    <t>00083/ORSE</t>
  </si>
  <si>
    <t>Forma plana para fundações, em tábuas de pinho, 05 usos</t>
  </si>
  <si>
    <t>00095/ORSE</t>
  </si>
  <si>
    <t>Concreto simples fabricado na obra, fck=13,5 mpa, lançado e adensado</t>
  </si>
  <si>
    <t>00126/ORSE</t>
  </si>
  <si>
    <t>Concreto simples fabricado na obra, fck=15 mpa, lançado e adensado</t>
  </si>
  <si>
    <t>00157/ORSE</t>
  </si>
  <si>
    <t>Alvenaria tijolo cerâmico maciço (5x9x19), esp = 0,19m (dobrada), com argamassa traço t5 - 1:2:8 (cimento / cal / areia) c/ junta de 2,0cm - R1</t>
  </si>
  <si>
    <t>01908/ORSE</t>
  </si>
  <si>
    <t>Reboco ou emboço externo, de parede, com argamassa traço t5 - 1:2:8 (cimento / cal / areia), espessura 2,0 cm</t>
  </si>
  <si>
    <t>03310/ORSE</t>
  </si>
  <si>
    <t>Chapisco em parede com argamassa traço t1 - 1:3 (cimento / areia) - Revisado 08/2015</t>
  </si>
  <si>
    <t>07237/ORSE</t>
  </si>
  <si>
    <t>COMPOSIÇÃO 4.41</t>
  </si>
  <si>
    <t>96995/SINAPI</t>
  </si>
  <si>
    <t>CABOS</t>
  </si>
  <si>
    <t>CABO DE COBRE FLEXÍVEL ISOLADO, 120 MM², ANTI-CHAMA 0,6/1,0 KV</t>
  </si>
  <si>
    <t>CABO DE COBRE FLEXÍVEL ISOLADO, 70 MM², ANTI-CHAMA 0,6/1,0 KV</t>
  </si>
  <si>
    <t>CABO DE COBRE FLEXÍVEL ISOLADO, 120 MM², ANTI-CHAMA 450/750 V</t>
  </si>
  <si>
    <t>CABO DE COBRE FLEXÍVEL ISOLADO, 6 MM², ANTI-CHAMA 450/750 V</t>
  </si>
  <si>
    <t>CABO DE COBRE FLEXÍVEL ISOLADO, 35 MM², ANTI-CHAMA 450/750 V</t>
  </si>
  <si>
    <t>CABO DE COBRE FLEXÍVEL ISOLADO, 50 MM², ANTI-CHAMA 450/750 V</t>
  </si>
  <si>
    <t>TERMINAL DE COMPRESSÃO PARA CABO DE 120 MM2 - FORNECIMENTO E INSTALAÇÃO</t>
  </si>
  <si>
    <t>TERMINAL DE COMPRESSÃO PARA CABO DE 70 MM2 - FORNECIMENTO E INSTALAÇÃO</t>
  </si>
  <si>
    <t>TERMINAL DE COMPRESSÃO PARA CABO DE 35 MM2 - FORNECIMENTO E INSTALAÇÃO</t>
  </si>
  <si>
    <t>TERMINAL DE COMPRESSÃO PARA CABO DE 50MM2 - FORNECIMENTO E INSTALAÇÃO</t>
  </si>
  <si>
    <t>BARRAMENTO COM VERGALHÃO DE COBRE REDONDO 5/8 X 3,00M</t>
  </si>
  <si>
    <t>92994/SINAPI</t>
  </si>
  <si>
    <t>92990/SINAPI</t>
  </si>
  <si>
    <t>92993/SINAPI</t>
  </si>
  <si>
    <t>91930/SINAPI</t>
  </si>
  <si>
    <t>92985/SINAPI</t>
  </si>
  <si>
    <t>92987/SINAPI</t>
  </si>
  <si>
    <t>07930/ORSE</t>
  </si>
  <si>
    <t>07929/ORSE</t>
  </si>
  <si>
    <t>03304/ORSE</t>
  </si>
  <si>
    <t>07923/ORSE</t>
  </si>
  <si>
    <t>10418/ORSE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</si>
  <si>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</si>
  <si>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</si>
  <si>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</si>
  <si>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</si>
  <si>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</si>
  <si>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</si>
  <si>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</si>
  <si>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</si>
  <si>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</si>
  <si>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</si>
  <si>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</si>
  <si>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QUADROS</t>
  </si>
  <si>
    <t xml:space="preserve">cotação mca </t>
  </si>
  <si>
    <t>ILUMINAÇÃO E TOMADAS</t>
  </si>
  <si>
    <t>PONTO DE ILUMINAÇÃO E TOMADA, RESIDENCIAL, INCLUINDO INTERRUPTOR SIMPLES E TOMADA 10A/250V, CAIXA ELÉTRICA, ELETRODUTO, CABO, RASGO, QUEBRA E CHUMBAMENTO (EXCLUINDO LUMINÁRIA E LÂMPADA). AF_01/2016</t>
  </si>
  <si>
    <t>LÂMPADA TUBULAR LED DE 18/20 W, BASE G13 - FORNECIMENTO E INSTALAÇÃO.</t>
  </si>
  <si>
    <t>LUMINÁRIA HERMÉTICA DE SOBREPOR, PARA LÂMPADA TUBULAR T8, 2X18W, IP65, 65CM, REF.: LMIP65 2X18 - T8C, DA G-LIGHT OU SIMILAR, EXCLUSIVE LÂMPADAS</t>
  </si>
  <si>
    <t>93145/SINAPI</t>
  </si>
  <si>
    <t>12793/ORSE</t>
  </si>
  <si>
    <t>4.63</t>
  </si>
  <si>
    <t>4.64</t>
  </si>
  <si>
    <t>4.65</t>
  </si>
  <si>
    <t>4.66</t>
  </si>
  <si>
    <t>4.67</t>
  </si>
  <si>
    <t>39387/SINAPI</t>
  </si>
  <si>
    <t>Lampada led tubular bivolt 18/20 w, base g13</t>
  </si>
  <si>
    <t>12295/SINAPI</t>
  </si>
  <si>
    <t>Soquete de baquelite base e27, para lampadas</t>
  </si>
  <si>
    <t>INSTALAÇÃO DE GRUPO GERADOR</t>
  </si>
  <si>
    <t>88264</t>
  </si>
  <si>
    <t>ELETRICISTA COM ENCARGOS COMPLEMENTARES</t>
  </si>
  <si>
    <t>88266</t>
  </si>
  <si>
    <t>ELETROTÉCNICO COM ENCARGOS COMPLEMENTARES</t>
  </si>
  <si>
    <t>88247</t>
  </si>
  <si>
    <t>CURSO DE INSTRUÇÕES PARA OPERAÇÃO COM ELETROTÉCNICO</t>
  </si>
  <si>
    <t>00004221</t>
  </si>
  <si>
    <t>OLEO DIESEL COMBUSTIVEL COMUM</t>
  </si>
  <si>
    <t>CONTROLE DO CONCRETO</t>
  </si>
  <si>
    <t>MOLDAGEM DE CORPO DE PROVA</t>
  </si>
  <si>
    <t>S12000</t>
  </si>
  <si>
    <t>CONTROLE TECNOLÓGICO DE CONCRETO - POR ROMPIMENTO DE CORPO DE PROVA</t>
  </si>
  <si>
    <t xml:space="preserve">UND </t>
  </si>
  <si>
    <t>4.68</t>
  </si>
  <si>
    <t>4.69</t>
  </si>
  <si>
    <t>4.70</t>
  </si>
  <si>
    <t>4.71</t>
  </si>
  <si>
    <t>4.72</t>
  </si>
  <si>
    <t>4.73</t>
  </si>
  <si>
    <t>4.74</t>
  </si>
  <si>
    <t>Técnico de laboratório com encargos complementares</t>
  </si>
  <si>
    <t>88321/SINAPI</t>
  </si>
  <si>
    <t>GABINETE/EXAUSTOR</t>
  </si>
  <si>
    <t>4.75</t>
  </si>
  <si>
    <t>FORNECIMENTO E INSTALAÇÃO DE GABINETE DE VENTILAÇÃO CONFORME ESPECIFICAÇÃO</t>
  </si>
  <si>
    <t>GABINETE DE VENTILAÇÃO DE 1544 M3/H 15MMCA BBT-160 BERLINER LUFT C.I.F.</t>
  </si>
  <si>
    <t>COTAÇÃO ÓRGÃO</t>
  </si>
  <si>
    <t>EQUIPAMENTOS</t>
  </si>
  <si>
    <t>S01077</t>
  </si>
  <si>
    <t xml:space="preserve">FORNECIMENTO DE GRUPO GERADOR 350 KVA CONFORME ESPECIFICAÇÃO NO IMS-CAT EM VITÓRIA DA CONQUISTA-BA </t>
  </si>
  <si>
    <t>BDI(25%)</t>
  </si>
  <si>
    <t>SUBTOTAL I:</t>
  </si>
  <si>
    <t>SUBTOTAL II:</t>
  </si>
  <si>
    <t>TOTAL :</t>
  </si>
  <si>
    <t>BDI(16%) :</t>
  </si>
  <si>
    <t>SETEMBRO/2021</t>
  </si>
  <si>
    <t>VIBRADOR DE IMERSÃO, DIÂMETRO DE PONTEIRA 45MM, MOTOR ELÉTRICO TRIFÁSICO  POTÊNCIA DE 2 CV - CHI DIURNO. AF_06/2015</t>
  </si>
  <si>
    <t>VIBRADOR DE IMERSÃO, DIÂMETRO DE PONTEIRA 45MM, MOTOR ELÉTRICO TRIFÁSICO POTÊNCIA DE 2 CV - CHP DIURNO. AF_06/2015</t>
  </si>
  <si>
    <t>00636/ORSE</t>
  </si>
  <si>
    <t xml:space="preserve">Concreto usinado bombeavel </t>
  </si>
  <si>
    <t>COMPOSIÇÃO 4.10</t>
  </si>
  <si>
    <t>87369/SINAPI</t>
  </si>
  <si>
    <t>Argamassa traço 1:2:8 (em volume de cimento, cal e areia média úmida) para emboço/massa única/assentamento de alvenaria de vedação, preparo manual. af_08/2019</t>
  </si>
  <si>
    <t>PRÓPRIO</t>
  </si>
  <si>
    <t>COMPOSIÇÃO 1.1</t>
  </si>
  <si>
    <t>COMPOSIÇÃO 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</si>
</sst>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0"/>
    <numFmt numFmtId="167" formatCode="0.0%"/>
    <numFmt numFmtId="168" formatCode="0.0000"/>
    <numFmt numFmtId="169" formatCode="#,"/>
    <numFmt numFmtId="170" formatCode="#,##0.00\ ;&quot; (&quot;#,##0.00\);&quot; -&quot;#\ ;@\ "/>
    <numFmt numFmtId="171" formatCode="dd/mm/yy;@"/>
    <numFmt numFmtId="172" formatCode="#,##0.00_ ;\-#,##0.00\ "/>
    <numFmt numFmtId="173" formatCode="d/m/yy\ h:mm;@"/>
    <numFmt numFmtId="174" formatCode="_-* #,##0.000_-;\-* #,##0.000_-;_-* &quot;-&quot;??_-;_-@_-"/>
    <numFmt numFmtId="175" formatCode="_-* #,##0.000_-;\-* #,##0.000_-;_-* &quot;-&quot;???_-;_-@_-"/>
    <numFmt numFmtId="176" formatCode="_-* #,##0.00_-;\-* #,##0.00_-;_-* &quot;-&quot;???_-;_-@_-"/>
    <numFmt numFmtId="177" formatCode="&quot;R$&quot;\ #,##0.00"/>
    <numFmt numFmtId="178" formatCode="_-* #,##0.0000_-;\-* #,##0.0000_-;_-* &quot;-&quot;??_-;_-@_-"/>
  </numFmts>
  <fonts count="10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0"/>
      <name val="Mang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4"/>
      <color indexed="8"/>
      <name val="Arial Narrow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 Narrow"/>
      <family val="2"/>
    </font>
    <font>
      <sz val="8"/>
      <name val="Comic Sans MS"/>
      <family val="4"/>
    </font>
    <font>
      <b/>
      <sz val="18"/>
      <name val="Arial Narrow"/>
      <family val="2"/>
    </font>
    <font>
      <sz val="16"/>
      <name val="Arial Narrow"/>
      <family val="2"/>
    </font>
    <font>
      <sz val="10"/>
      <name val="Comic Sans MS"/>
      <family val="4"/>
    </font>
    <font>
      <b/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trike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8"/>
      <color rgb="FFFF0000"/>
      <name val="Comic Sans MS"/>
      <family val="4"/>
    </font>
    <font>
      <sz val="10"/>
      <color rgb="FFFF0000"/>
      <name val="Comic Sans MS"/>
      <family val="4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  <font>
      <b/>
      <sz val="14"/>
      <color rgb="FFFF0000"/>
      <name val="Arial Narrow"/>
      <family val="2"/>
    </font>
    <font>
      <sz val="14"/>
      <color rgb="FFFF0000"/>
      <name val="Comic Sans MS"/>
      <family val="4"/>
    </font>
    <font>
      <b/>
      <sz val="10"/>
      <color rgb="FFFF0000"/>
      <name val="Comic Sans MS"/>
      <family val="4"/>
    </font>
    <font>
      <sz val="14"/>
      <color rgb="FFFF0000"/>
      <name val="Arial Narrow"/>
      <family val="2"/>
    </font>
    <font>
      <sz val="16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Arial Narrow"/>
      <family val="2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4"/>
      <color rgb="FF000000"/>
      <name val="Arial Narrow"/>
      <family val="2"/>
    </font>
    <font>
      <i/>
      <sz val="10"/>
      <color indexed="8"/>
      <name val="Arial Narrow"/>
      <family val="2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57">
    <xf numFmtId="0" fontId="0" fillId="0" borderId="0"/>
    <xf numFmtId="0" fontId="2" fillId="0" borderId="0"/>
    <xf numFmtId="0" fontId="8" fillId="2" borderId="0" applyNumberFormat="0" applyBorder="0" applyAlignment="0" applyProtection="0"/>
    <xf numFmtId="0" fontId="61" fillId="26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61" fillId="27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61" fillId="28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61" fillId="29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61" fillId="30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1" fillId="3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61" fillId="3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1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61" fillId="3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61" fillId="3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1" fillId="3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61" fillId="37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62" fillId="38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2" fillId="3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62" fillId="4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2" fillId="4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62" fillId="42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2" fillId="43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63" fillId="44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64" fillId="45" borderId="59" applyNumberFormat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65" fillId="46" borderId="60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66" fillId="0" borderId="61" applyNumberFormat="0" applyFill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62" fillId="4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62" fillId="4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62" fillId="4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62" fillId="5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62" fillId="51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62" fillId="52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67" fillId="53" borderId="59" applyNumberFormat="0" applyAlignment="0" applyProtection="0"/>
    <xf numFmtId="0" fontId="14" fillId="7" borderId="1" applyNumberFormat="0" applyAlignment="0" applyProtection="0"/>
    <xf numFmtId="0" fontId="3" fillId="0" borderId="0" applyNumberFormat="0" applyFill="0" applyBorder="0" applyAlignment="0" applyProtection="0"/>
    <xf numFmtId="0" fontId="68" fillId="5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0" fillId="55" borderId="0" applyNumberFormat="0" applyBorder="0" applyAlignment="0" applyProtection="0"/>
    <xf numFmtId="0" fontId="17" fillId="22" borderId="0" applyNumberFormat="0" applyBorder="0" applyAlignment="0" applyProtection="0"/>
    <xf numFmtId="0" fontId="6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2" fillId="0" borderId="0"/>
    <xf numFmtId="0" fontId="2" fillId="0" borderId="0"/>
    <xf numFmtId="0" fontId="2" fillId="0" borderId="0"/>
    <xf numFmtId="39" fontId="16" fillId="0" borderId="0"/>
    <xf numFmtId="0" fontId="61" fillId="0" borderId="0"/>
    <xf numFmtId="0" fontId="8" fillId="0" borderId="0"/>
    <xf numFmtId="0" fontId="2" fillId="0" borderId="0"/>
    <xf numFmtId="0" fontId="2" fillId="0" borderId="0"/>
    <xf numFmtId="0" fontId="71" fillId="0" borderId="0"/>
    <xf numFmtId="0" fontId="1" fillId="0" borderId="0"/>
    <xf numFmtId="0" fontId="37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1" fillId="0" borderId="0"/>
    <xf numFmtId="0" fontId="2" fillId="0" borderId="0"/>
    <xf numFmtId="0" fontId="2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34" fillId="0" borderId="0"/>
    <xf numFmtId="0" fontId="7" fillId="23" borderId="4" applyNumberFormat="0" applyFont="0" applyAlignment="0" applyProtection="0"/>
    <xf numFmtId="0" fontId="2" fillId="23" borderId="4" applyNumberFormat="0" applyFont="0" applyAlignment="0" applyProtection="0"/>
    <xf numFmtId="0" fontId="8" fillId="56" borderId="62" applyNumberFormat="0" applyFont="0" applyAlignment="0" applyProtection="0"/>
    <xf numFmtId="0" fontId="2" fillId="23" borderId="4" applyNumberFormat="0" applyFont="0" applyAlignment="0" applyProtection="0"/>
    <xf numFmtId="0" fontId="8" fillId="56" borderId="62" applyNumberFormat="0" applyFont="0" applyAlignment="0" applyProtection="0"/>
    <xf numFmtId="0" fontId="8" fillId="56" borderId="62" applyNumberFormat="0" applyFont="0" applyAlignment="0" applyProtection="0"/>
    <xf numFmtId="0" fontId="8" fillId="56" borderId="62" applyNumberFormat="0" applyFont="0" applyAlignment="0" applyProtection="0"/>
    <xf numFmtId="0" fontId="61" fillId="56" borderId="62" applyNumberFormat="0" applyFont="0" applyAlignment="0" applyProtection="0"/>
    <xf numFmtId="0" fontId="8" fillId="56" borderId="6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16" borderId="5" applyNumberFormat="0" applyAlignment="0" applyProtection="0"/>
    <xf numFmtId="0" fontId="72" fillId="45" borderId="63" applyNumberFormat="0" applyAlignment="0" applyProtection="0"/>
    <xf numFmtId="0" fontId="19" fillId="16" borderId="5" applyNumberFormat="0" applyAlignment="0" applyProtection="0"/>
    <xf numFmtId="169" fontId="20" fillId="0" borderId="0">
      <protection locked="0"/>
    </xf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75" fillId="0" borderId="64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76" fillId="0" borderId="65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77" fillId="0" borderId="66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82" fillId="0" borderId="67" applyNumberFormat="0" applyFill="0" applyAlignment="0" applyProtection="0"/>
    <xf numFmtId="0" fontId="27" fillId="0" borderId="9" applyNumberFormat="0" applyFill="0" applyAlignment="0" applyProtection="0"/>
    <xf numFmtId="165" fontId="2" fillId="0" borderId="0" applyFont="0" applyFill="0" applyBorder="0" applyAlignment="0" applyProtection="0"/>
    <xf numFmtId="170" fontId="32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0" fontId="32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8">
    <xf numFmtId="0" fontId="0" fillId="0" borderId="0" xfId="0"/>
    <xf numFmtId="49" fontId="29" fillId="0" borderId="0" xfId="142" applyNumberFormat="1" applyFont="1" applyFill="1" applyBorder="1" applyAlignment="1" applyProtection="1">
      <alignment vertical="distributed" wrapText="1"/>
      <protection locked="0"/>
    </xf>
    <xf numFmtId="49" fontId="29" fillId="0" borderId="0" xfId="142" applyNumberFormat="1" applyFont="1" applyFill="1" applyBorder="1" applyAlignment="1" applyProtection="1">
      <alignment horizontal="center" wrapText="1"/>
      <protection locked="0"/>
    </xf>
    <xf numFmtId="165" fontId="83" fillId="0" borderId="0" xfId="249" applyFont="1" applyBorder="1" applyAlignment="1"/>
    <xf numFmtId="165" fontId="83" fillId="0" borderId="10" xfId="249" applyFont="1" applyBorder="1" applyAlignment="1"/>
    <xf numFmtId="0" fontId="39" fillId="0" borderId="0" xfId="120" applyFont="1" applyAlignment="1">
      <alignment vertical="center"/>
    </xf>
    <xf numFmtId="165" fontId="84" fillId="0" borderId="0" xfId="249" applyFont="1" applyAlignment="1"/>
    <xf numFmtId="49" fontId="29" fillId="0" borderId="0" xfId="142" applyNumberFormat="1" applyFont="1" applyFill="1" applyBorder="1" applyAlignment="1" applyProtection="1">
      <alignment horizontal="left" vertical="center" wrapText="1"/>
      <protection locked="0"/>
    </xf>
    <xf numFmtId="165" fontId="29" fillId="0" borderId="0" xfId="249" applyFont="1" applyBorder="1" applyAlignment="1"/>
    <xf numFmtId="173" fontId="39" fillId="0" borderId="0" xfId="133" applyNumberFormat="1" applyFont="1" applyFill="1" applyBorder="1" applyAlignment="1" applyProtection="1">
      <alignment horizontal="center" vertical="center" wrapText="1"/>
      <protection locked="0"/>
    </xf>
    <xf numFmtId="0" fontId="84" fillId="0" borderId="0" xfId="120" applyFont="1" applyAlignment="1">
      <alignment vertical="center"/>
    </xf>
    <xf numFmtId="10" fontId="85" fillId="0" borderId="11" xfId="178" applyNumberFormat="1" applyFont="1" applyBorder="1" applyAlignment="1"/>
    <xf numFmtId="10" fontId="85" fillId="0" borderId="12" xfId="178" applyNumberFormat="1" applyFont="1" applyBorder="1" applyAlignment="1"/>
    <xf numFmtId="0" fontId="84" fillId="0" borderId="0" xfId="249" applyNumberFormat="1" applyFont="1" applyAlignment="1">
      <alignment horizontal="center" vertical="center"/>
    </xf>
    <xf numFmtId="0" fontId="84" fillId="0" borderId="0" xfId="120" applyFont="1" applyAlignment="1">
      <alignment vertical="distributed" wrapText="1"/>
    </xf>
    <xf numFmtId="165" fontId="84" fillId="0" borderId="0" xfId="249" applyFont="1" applyAlignment="1">
      <alignment horizontal="center"/>
    </xf>
    <xf numFmtId="0" fontId="86" fillId="0" borderId="0" xfId="116" applyFont="1" applyFill="1"/>
    <xf numFmtId="0" fontId="86" fillId="0" borderId="0" xfId="116" applyFont="1" applyFill="1" applyAlignment="1">
      <alignment horizontal="center"/>
    </xf>
    <xf numFmtId="0" fontId="87" fillId="0" borderId="0" xfId="116" applyFont="1" applyFill="1" applyAlignment="1">
      <alignment horizontal="center"/>
    </xf>
    <xf numFmtId="165" fontId="87" fillId="0" borderId="0" xfId="116" applyNumberFormat="1" applyFont="1" applyFill="1"/>
    <xf numFmtId="10" fontId="87" fillId="0" borderId="0" xfId="116" applyNumberFormat="1" applyFont="1" applyFill="1"/>
    <xf numFmtId="0" fontId="87" fillId="0" borderId="0" xfId="116" applyFont="1" applyFill="1"/>
    <xf numFmtId="0" fontId="84" fillId="0" borderId="13" xfId="116" applyFont="1" applyFill="1" applyBorder="1" applyAlignment="1">
      <alignment horizontal="center" vertical="center"/>
    </xf>
    <xf numFmtId="0" fontId="84" fillId="0" borderId="0" xfId="116" applyFont="1" applyFill="1" applyBorder="1"/>
    <xf numFmtId="165" fontId="84" fillId="0" borderId="0" xfId="249" applyFont="1" applyFill="1" applyBorder="1" applyAlignment="1">
      <alignment horizontal="center" vertical="center"/>
    </xf>
    <xf numFmtId="4" fontId="84" fillId="0" borderId="0" xfId="249" applyNumberFormat="1" applyFont="1" applyFill="1" applyBorder="1" applyAlignment="1">
      <alignment horizontal="center"/>
    </xf>
    <xf numFmtId="165" fontId="84" fillId="0" borderId="0" xfId="249" applyFont="1" applyFill="1" applyBorder="1" applyAlignment="1">
      <alignment horizontal="right"/>
    </xf>
    <xf numFmtId="165" fontId="84" fillId="0" borderId="0" xfId="116" applyNumberFormat="1" applyFont="1" applyFill="1" applyBorder="1"/>
    <xf numFmtId="43" fontId="87" fillId="0" borderId="0" xfId="116" applyNumberFormat="1" applyFont="1" applyFill="1" applyAlignment="1">
      <alignment horizontal="center"/>
    </xf>
    <xf numFmtId="0" fontId="88" fillId="0" borderId="0" xfId="116" applyFont="1" applyFill="1" applyBorder="1"/>
    <xf numFmtId="165" fontId="88" fillId="0" borderId="0" xfId="116" applyNumberFormat="1" applyFont="1" applyFill="1" applyBorder="1"/>
    <xf numFmtId="165" fontId="88" fillId="0" borderId="0" xfId="249" applyFont="1" applyFill="1" applyBorder="1" applyAlignment="1">
      <alignment horizontal="center" vertical="center"/>
    </xf>
    <xf numFmtId="0" fontId="84" fillId="0" borderId="0" xfId="116" applyFont="1" applyFill="1" applyAlignment="1">
      <alignment horizontal="center" vertical="center"/>
    </xf>
    <xf numFmtId="0" fontId="84" fillId="0" borderId="0" xfId="116" applyFont="1" applyFill="1"/>
    <xf numFmtId="165" fontId="84" fillId="0" borderId="0" xfId="249" applyFont="1" applyFill="1" applyAlignment="1">
      <alignment horizontal="center" vertical="center"/>
    </xf>
    <xf numFmtId="4" fontId="84" fillId="0" borderId="0" xfId="249" applyNumberFormat="1" applyFont="1" applyFill="1" applyAlignment="1">
      <alignment horizontal="center"/>
    </xf>
    <xf numFmtId="165" fontId="84" fillId="0" borderId="0" xfId="249" applyFont="1" applyFill="1" applyAlignment="1">
      <alignment horizontal="right"/>
    </xf>
    <xf numFmtId="0" fontId="86" fillId="0" borderId="0" xfId="116" applyFont="1" applyFill="1" applyAlignment="1">
      <alignment horizontal="center" vertical="center"/>
    </xf>
    <xf numFmtId="165" fontId="86" fillId="0" borderId="0" xfId="249" applyFont="1" applyFill="1" applyAlignment="1">
      <alignment horizontal="center" vertical="center"/>
    </xf>
    <xf numFmtId="4" fontId="86" fillId="0" borderId="0" xfId="249" applyNumberFormat="1" applyFont="1" applyFill="1" applyAlignment="1">
      <alignment horizontal="center"/>
    </xf>
    <xf numFmtId="165" fontId="86" fillId="0" borderId="0" xfId="249" applyFont="1" applyFill="1" applyAlignment="1">
      <alignment horizontal="right"/>
    </xf>
    <xf numFmtId="0" fontId="6" fillId="0" borderId="0" xfId="120" applyFont="1" applyAlignment="1">
      <alignment vertical="center"/>
    </xf>
    <xf numFmtId="165" fontId="6" fillId="0" borderId="0" xfId="249" applyFont="1" applyBorder="1" applyAlignment="1"/>
    <xf numFmtId="10" fontId="4" fillId="0" borderId="11" xfId="178" applyNumberFormat="1" applyFont="1" applyBorder="1" applyAlignment="1"/>
    <xf numFmtId="0" fontId="4" fillId="0" borderId="16" xfId="249" applyNumberFormat="1" applyFont="1" applyFill="1" applyBorder="1" applyAlignment="1">
      <alignment horizontal="center" vertical="center" wrapText="1"/>
    </xf>
    <xf numFmtId="0" fontId="4" fillId="0" borderId="18" xfId="249" applyNumberFormat="1" applyFont="1" applyFill="1" applyBorder="1" applyAlignment="1">
      <alignment horizontal="center" vertical="center" wrapText="1"/>
    </xf>
    <xf numFmtId="0" fontId="4" fillId="0" borderId="17" xfId="249" applyNumberFormat="1" applyFont="1" applyFill="1" applyBorder="1" applyAlignment="1">
      <alignment horizontal="center" vertical="center" wrapText="1"/>
    </xf>
    <xf numFmtId="0" fontId="4" fillId="0" borderId="0" xfId="122" applyFont="1" applyBorder="1" applyAlignment="1">
      <alignment vertical="distributed" wrapText="1"/>
    </xf>
    <xf numFmtId="0" fontId="40" fillId="0" borderId="16" xfId="249" applyNumberFormat="1" applyFont="1" applyFill="1" applyBorder="1" applyAlignment="1">
      <alignment horizontal="center" vertical="center" wrapText="1"/>
    </xf>
    <xf numFmtId="4" fontId="42" fillId="0" borderId="0" xfId="249" applyNumberFormat="1" applyFont="1" applyFill="1" applyBorder="1" applyAlignment="1">
      <alignment horizontal="right"/>
    </xf>
    <xf numFmtId="0" fontId="43" fillId="0" borderId="0" xfId="0" applyFont="1" applyAlignment="1">
      <alignment vertical="center"/>
    </xf>
    <xf numFmtId="165" fontId="6" fillId="0" borderId="15" xfId="249" applyFont="1" applyBorder="1" applyAlignment="1"/>
    <xf numFmtId="10" fontId="4" fillId="0" borderId="21" xfId="178" applyNumberFormat="1" applyFont="1" applyBorder="1" applyAlignment="1"/>
    <xf numFmtId="4" fontId="28" fillId="0" borderId="20" xfId="249" applyNumberFormat="1" applyFont="1" applyFill="1" applyBorder="1" applyAlignment="1">
      <alignment horizontal="right"/>
    </xf>
    <xf numFmtId="10" fontId="44" fillId="0" borderId="0" xfId="178" applyNumberFormat="1" applyFont="1" applyFill="1" applyBorder="1" applyAlignment="1">
      <alignment horizontal="center"/>
    </xf>
    <xf numFmtId="4" fontId="28" fillId="0" borderId="23" xfId="249" applyNumberFormat="1" applyFont="1" applyFill="1" applyBorder="1" applyAlignment="1">
      <alignment horizontal="right"/>
    </xf>
    <xf numFmtId="49" fontId="6" fillId="58" borderId="19" xfId="249" applyNumberFormat="1" applyFont="1" applyFill="1" applyBorder="1" applyAlignment="1">
      <alignment horizontal="center" vertical="center"/>
    </xf>
    <xf numFmtId="165" fontId="30" fillId="58" borderId="19" xfId="249" applyFont="1" applyFill="1" applyBorder="1" applyAlignment="1">
      <alignment horizontal="center"/>
    </xf>
    <xf numFmtId="164" fontId="30" fillId="58" borderId="25" xfId="93" applyFont="1" applyFill="1" applyBorder="1" applyAlignment="1">
      <alignment horizontal="right"/>
    </xf>
    <xf numFmtId="4" fontId="28" fillId="0" borderId="26" xfId="249" applyNumberFormat="1" applyFont="1" applyFill="1" applyBorder="1" applyAlignment="1">
      <alignment horizontal="right"/>
    </xf>
    <xf numFmtId="0" fontId="88" fillId="0" borderId="27" xfId="168" quotePrefix="1" applyNumberFormat="1" applyFont="1" applyFill="1" applyBorder="1" applyAlignment="1">
      <alignment horizontal="center" vertical="center"/>
    </xf>
    <xf numFmtId="165" fontId="84" fillId="0" borderId="20" xfId="249" applyFont="1" applyFill="1" applyBorder="1" applyAlignment="1">
      <alignment horizontal="center" vertical="center"/>
    </xf>
    <xf numFmtId="10" fontId="84" fillId="0" borderId="20" xfId="178" applyNumberFormat="1" applyFont="1" applyFill="1" applyBorder="1" applyAlignment="1">
      <alignment horizontal="center" vertical="center"/>
    </xf>
    <xf numFmtId="165" fontId="84" fillId="0" borderId="20" xfId="249" applyFont="1" applyFill="1" applyBorder="1" applyAlignment="1">
      <alignment horizontal="left" vertical="center"/>
    </xf>
    <xf numFmtId="167" fontId="84" fillId="0" borderId="20" xfId="178" applyNumberFormat="1" applyFont="1" applyFill="1" applyBorder="1" applyAlignment="1">
      <alignment horizontal="center"/>
    </xf>
    <xf numFmtId="10" fontId="87" fillId="0" borderId="0" xfId="249" applyNumberFormat="1" applyFont="1" applyFill="1" applyAlignment="1">
      <alignment horizontal="center"/>
    </xf>
    <xf numFmtId="0" fontId="88" fillId="0" borderId="20" xfId="168" quotePrefix="1" applyNumberFormat="1" applyFont="1" applyFill="1" applyBorder="1" applyAlignment="1">
      <alignment horizontal="left" vertical="center" wrapText="1"/>
    </xf>
    <xf numFmtId="0" fontId="85" fillId="58" borderId="27" xfId="159" applyFont="1" applyFill="1" applyBorder="1" applyAlignment="1">
      <alignment horizontal="center" vertical="center"/>
    </xf>
    <xf numFmtId="0" fontId="85" fillId="0" borderId="27" xfId="159" applyFont="1" applyFill="1" applyBorder="1" applyAlignment="1">
      <alignment horizontal="center" vertical="center"/>
    </xf>
    <xf numFmtId="0" fontId="90" fillId="0" borderId="20" xfId="159" applyFont="1" applyFill="1" applyBorder="1" applyAlignment="1">
      <alignment horizontal="right"/>
    </xf>
    <xf numFmtId="164" fontId="90" fillId="0" borderId="20" xfId="93" applyFont="1" applyFill="1" applyBorder="1" applyAlignment="1">
      <alignment horizontal="center" vertical="center"/>
    </xf>
    <xf numFmtId="10" fontId="90" fillId="0" borderId="20" xfId="178" applyNumberFormat="1" applyFont="1" applyFill="1" applyBorder="1" applyAlignment="1">
      <alignment horizontal="center" vertical="center"/>
    </xf>
    <xf numFmtId="0" fontId="90" fillId="58" borderId="27" xfId="159" applyFont="1" applyFill="1" applyBorder="1" applyAlignment="1">
      <alignment horizontal="center" vertical="center"/>
    </xf>
    <xf numFmtId="10" fontId="91" fillId="0" borderId="0" xfId="249" applyNumberFormat="1" applyFont="1" applyFill="1" applyAlignment="1">
      <alignment horizontal="center"/>
    </xf>
    <xf numFmtId="0" fontId="91" fillId="0" borderId="0" xfId="116" applyFont="1" applyFill="1" applyAlignment="1">
      <alignment horizontal="center"/>
    </xf>
    <xf numFmtId="165" fontId="91" fillId="0" borderId="0" xfId="116" applyNumberFormat="1" applyFont="1" applyFill="1"/>
    <xf numFmtId="10" fontId="91" fillId="0" borderId="0" xfId="116" applyNumberFormat="1" applyFont="1" applyFill="1"/>
    <xf numFmtId="0" fontId="91" fillId="0" borderId="0" xfId="116" applyFont="1" applyFill="1"/>
    <xf numFmtId="0" fontId="90" fillId="58" borderId="27" xfId="116" applyFont="1" applyFill="1" applyBorder="1" applyAlignment="1">
      <alignment horizontal="center" vertical="center"/>
    </xf>
    <xf numFmtId="165" fontId="87" fillId="0" borderId="0" xfId="249" applyFont="1" applyFill="1" applyAlignment="1">
      <alignment horizontal="center"/>
    </xf>
    <xf numFmtId="0" fontId="92" fillId="0" borderId="0" xfId="116" applyFont="1" applyFill="1"/>
    <xf numFmtId="165" fontId="92" fillId="0" borderId="0" xfId="116" applyNumberFormat="1" applyFont="1" applyFill="1" applyAlignment="1">
      <alignment horizontal="left"/>
    </xf>
    <xf numFmtId="49" fontId="6" fillId="0" borderId="29" xfId="249" applyNumberFormat="1" applyFont="1" applyFill="1" applyBorder="1" applyAlignment="1">
      <alignment horizontal="center" vertical="center"/>
    </xf>
    <xf numFmtId="4" fontId="28" fillId="0" borderId="29" xfId="249" applyNumberFormat="1" applyFont="1" applyFill="1" applyBorder="1" applyAlignment="1">
      <alignment horizontal="right"/>
    </xf>
    <xf numFmtId="165" fontId="28" fillId="0" borderId="29" xfId="249" applyFont="1" applyFill="1" applyBorder="1" applyAlignment="1">
      <alignment horizontal="center"/>
    </xf>
    <xf numFmtId="0" fontId="29" fillId="0" borderId="20" xfId="309" applyNumberFormat="1" applyFont="1" applyFill="1" applyBorder="1" applyAlignment="1">
      <alignment horizontal="center" vertical="center"/>
    </xf>
    <xf numFmtId="165" fontId="29" fillId="0" borderId="32" xfId="249" applyFont="1" applyFill="1" applyBorder="1" applyAlignment="1">
      <alignment horizontal="center"/>
    </xf>
    <xf numFmtId="49" fontId="29" fillId="0" borderId="13" xfId="142" applyNumberFormat="1" applyFont="1" applyFill="1" applyBorder="1" applyAlignment="1" applyProtection="1">
      <alignment horizontal="left" vertical="center" wrapText="1"/>
      <protection locked="0"/>
    </xf>
    <xf numFmtId="0" fontId="34" fillId="0" borderId="13" xfId="161" applyFont="1" applyBorder="1"/>
    <xf numFmtId="0" fontId="34" fillId="0" borderId="0" xfId="161" applyFont="1"/>
    <xf numFmtId="0" fontId="30" fillId="58" borderId="33" xfId="249" applyNumberFormat="1" applyFont="1" applyFill="1" applyBorder="1" applyAlignment="1">
      <alignment horizontal="center" vertical="center"/>
    </xf>
    <xf numFmtId="165" fontId="28" fillId="0" borderId="0" xfId="249" applyFont="1" applyFill="1" applyBorder="1" applyAlignment="1">
      <alignment horizontal="center"/>
    </xf>
    <xf numFmtId="4" fontId="28" fillId="0" borderId="0" xfId="249" applyNumberFormat="1" applyFont="1" applyFill="1" applyBorder="1" applyAlignment="1">
      <alignment horizontal="right"/>
    </xf>
    <xf numFmtId="0" fontId="39" fillId="0" borderId="0" xfId="0" applyFont="1" applyAlignment="1">
      <alignment vertical="center"/>
    </xf>
    <xf numFmtId="0" fontId="28" fillId="0" borderId="34" xfId="249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28" fillId="0" borderId="28" xfId="249" applyNumberFormat="1" applyFont="1" applyFill="1" applyBorder="1" applyAlignment="1">
      <alignment horizontal="center" vertical="center"/>
    </xf>
    <xf numFmtId="0" fontId="4" fillId="0" borderId="36" xfId="249" applyNumberFormat="1" applyFont="1" applyFill="1" applyBorder="1" applyAlignment="1">
      <alignment horizontal="center" vertical="center" wrapText="1"/>
    </xf>
    <xf numFmtId="0" fontId="52" fillId="0" borderId="15" xfId="116" applyFont="1" applyFill="1" applyBorder="1"/>
    <xf numFmtId="0" fontId="52" fillId="0" borderId="21" xfId="116" applyFont="1" applyFill="1" applyBorder="1"/>
    <xf numFmtId="0" fontId="52" fillId="0" borderId="0" xfId="116" applyFont="1" applyFill="1"/>
    <xf numFmtId="0" fontId="52" fillId="0" borderId="0" xfId="116" applyFont="1" applyFill="1" applyAlignment="1">
      <alignment horizontal="center"/>
    </xf>
    <xf numFmtId="10" fontId="40" fillId="0" borderId="0" xfId="178" applyNumberFormat="1" applyFont="1" applyBorder="1" applyAlignment="1">
      <alignment horizontal="center" vertical="center"/>
    </xf>
    <xf numFmtId="10" fontId="6" fillId="0" borderId="0" xfId="178" applyNumberFormat="1" applyFont="1" applyBorder="1" applyAlignment="1"/>
    <xf numFmtId="0" fontId="52" fillId="0" borderId="0" xfId="116" applyFont="1" applyFill="1" applyBorder="1"/>
    <xf numFmtId="0" fontId="52" fillId="0" borderId="11" xfId="116" applyFont="1" applyFill="1" applyBorder="1"/>
    <xf numFmtId="0" fontId="6" fillId="0" borderId="0" xfId="178" applyNumberFormat="1" applyFont="1" applyBorder="1" applyAlignment="1">
      <alignment vertical="distributed"/>
    </xf>
    <xf numFmtId="0" fontId="52" fillId="0" borderId="0" xfId="116" applyNumberFormat="1" applyFont="1" applyFill="1" applyBorder="1" applyAlignment="1">
      <alignment vertical="distributed"/>
    </xf>
    <xf numFmtId="0" fontId="52" fillId="0" borderId="11" xfId="116" applyNumberFormat="1" applyFont="1" applyFill="1" applyBorder="1" applyAlignment="1">
      <alignment vertical="distributed"/>
    </xf>
    <xf numFmtId="0" fontId="52" fillId="0" borderId="0" xfId="116" applyNumberFormat="1" applyFont="1" applyFill="1" applyAlignment="1">
      <alignment vertical="distributed"/>
    </xf>
    <xf numFmtId="0" fontId="52" fillId="0" borderId="0" xfId="116" applyNumberFormat="1" applyFont="1" applyFill="1" applyAlignment="1">
      <alignment horizontal="center" vertical="distributed"/>
    </xf>
    <xf numFmtId="0" fontId="40" fillId="0" borderId="27" xfId="168" quotePrefix="1" applyNumberFormat="1" applyFont="1" applyFill="1" applyBorder="1" applyAlignment="1">
      <alignment horizontal="center" vertical="center"/>
    </xf>
    <xf numFmtId="0" fontId="40" fillId="0" borderId="20" xfId="168" quotePrefix="1" applyNumberFormat="1" applyFont="1" applyFill="1" applyBorder="1" applyAlignment="1">
      <alignment horizontal="left" vertical="center"/>
    </xf>
    <xf numFmtId="0" fontId="40" fillId="0" borderId="20" xfId="168" quotePrefix="1" applyNumberFormat="1" applyFont="1" applyFill="1" applyBorder="1" applyAlignment="1">
      <alignment horizontal="left" vertical="center" wrapText="1"/>
    </xf>
    <xf numFmtId="165" fontId="6" fillId="0" borderId="20" xfId="249" applyFont="1" applyFill="1" applyBorder="1" applyAlignment="1">
      <alignment horizontal="center" vertical="center"/>
    </xf>
    <xf numFmtId="164" fontId="30" fillId="58" borderId="20" xfId="93" applyFont="1" applyFill="1" applyBorder="1" applyAlignment="1">
      <alignment horizontal="center" vertical="center"/>
    </xf>
    <xf numFmtId="0" fontId="30" fillId="58" borderId="20" xfId="159" applyFont="1" applyFill="1" applyBorder="1" applyAlignment="1">
      <alignment horizontal="right"/>
    </xf>
    <xf numFmtId="0" fontId="30" fillId="58" borderId="20" xfId="116" applyFont="1" applyFill="1" applyBorder="1"/>
    <xf numFmtId="10" fontId="52" fillId="0" borderId="0" xfId="116" applyNumberFormat="1" applyFont="1" applyFill="1" applyAlignment="1">
      <alignment horizontal="center"/>
    </xf>
    <xf numFmtId="165" fontId="6" fillId="0" borderId="20" xfId="249" applyFont="1" applyFill="1" applyBorder="1" applyAlignment="1">
      <alignment horizontal="left" vertical="center"/>
    </xf>
    <xf numFmtId="164" fontId="30" fillId="0" borderId="20" xfId="93" applyFont="1" applyFill="1" applyBorder="1" applyAlignment="1">
      <alignment horizontal="center" vertical="center"/>
    </xf>
    <xf numFmtId="164" fontId="30" fillId="58" borderId="20" xfId="93" applyFont="1" applyFill="1" applyBorder="1" applyAlignment="1">
      <alignment horizontal="center"/>
    </xf>
    <xf numFmtId="10" fontId="6" fillId="0" borderId="20" xfId="178" applyNumberFormat="1" applyFont="1" applyFill="1" applyBorder="1" applyAlignment="1">
      <alignment horizontal="center" vertical="center"/>
    </xf>
    <xf numFmtId="10" fontId="30" fillId="58" borderId="20" xfId="178" applyNumberFormat="1" applyFont="1" applyFill="1" applyBorder="1" applyAlignment="1">
      <alignment horizontal="center"/>
    </xf>
    <xf numFmtId="10" fontId="30" fillId="0" borderId="20" xfId="178" applyNumberFormat="1" applyFont="1" applyFill="1" applyBorder="1" applyAlignment="1">
      <alignment horizontal="center"/>
    </xf>
    <xf numFmtId="10" fontId="30" fillId="58" borderId="20" xfId="178" applyNumberFormat="1" applyFont="1" applyFill="1" applyBorder="1" applyAlignment="1">
      <alignment horizontal="center" vertical="center"/>
    </xf>
    <xf numFmtId="167" fontId="6" fillId="0" borderId="20" xfId="178" applyNumberFormat="1" applyFont="1" applyFill="1" applyBorder="1" applyAlignment="1">
      <alignment horizontal="center"/>
    </xf>
    <xf numFmtId="165" fontId="6" fillId="0" borderId="20" xfId="249" applyFont="1" applyFill="1" applyBorder="1"/>
    <xf numFmtId="165" fontId="30" fillId="58" borderId="20" xfId="249" applyFont="1" applyFill="1" applyBorder="1" applyAlignment="1">
      <alignment horizontal="center" vertical="center"/>
    </xf>
    <xf numFmtId="10" fontId="30" fillId="0" borderId="20" xfId="178" applyNumberFormat="1" applyFont="1" applyFill="1" applyBorder="1" applyAlignment="1">
      <alignment horizontal="center" vertical="center"/>
    </xf>
    <xf numFmtId="165" fontId="30" fillId="0" borderId="20" xfId="249" applyFont="1" applyFill="1" applyBorder="1" applyAlignment="1">
      <alignment horizontal="center" vertical="center"/>
    </xf>
    <xf numFmtId="10" fontId="6" fillId="0" borderId="20" xfId="178" applyNumberFormat="1" applyFont="1" applyFill="1" applyBorder="1" applyAlignment="1">
      <alignment horizontal="center"/>
    </xf>
    <xf numFmtId="165" fontId="30" fillId="58" borderId="20" xfId="116" applyNumberFormat="1" applyFont="1" applyFill="1" applyBorder="1"/>
    <xf numFmtId="9" fontId="52" fillId="0" borderId="0" xfId="116" applyNumberFormat="1" applyFont="1" applyFill="1" applyAlignment="1">
      <alignment horizontal="center"/>
    </xf>
    <xf numFmtId="10" fontId="55" fillId="0" borderId="0" xfId="249" applyNumberFormat="1" applyFont="1" applyFill="1" applyAlignment="1">
      <alignment horizontal="center"/>
    </xf>
    <xf numFmtId="0" fontId="55" fillId="0" borderId="0" xfId="116" applyFont="1" applyFill="1" applyAlignment="1">
      <alignment horizontal="center"/>
    </xf>
    <xf numFmtId="165" fontId="55" fillId="0" borderId="0" xfId="116" applyNumberFormat="1" applyFont="1" applyFill="1"/>
    <xf numFmtId="10" fontId="55" fillId="0" borderId="0" xfId="116" applyNumberFormat="1" applyFont="1" applyFill="1"/>
    <xf numFmtId="0" fontId="55" fillId="0" borderId="0" xfId="116" applyFont="1" applyFill="1"/>
    <xf numFmtId="49" fontId="29" fillId="0" borderId="0" xfId="142" applyNumberFormat="1" applyFont="1" applyFill="1" applyBorder="1" applyAlignment="1" applyProtection="1">
      <alignment wrapText="1"/>
      <protection locked="0"/>
    </xf>
    <xf numFmtId="0" fontId="31" fillId="0" borderId="13" xfId="203" applyNumberFormat="1" applyFont="1" applyFill="1" applyBorder="1" applyAlignment="1" applyProtection="1">
      <alignment vertical="center"/>
      <protection locked="0"/>
    </xf>
    <xf numFmtId="0" fontId="31" fillId="0" borderId="0" xfId="203" applyNumberFormat="1" applyFont="1" applyFill="1" applyBorder="1" applyAlignment="1" applyProtection="1">
      <alignment vertical="center"/>
      <protection locked="0"/>
    </xf>
    <xf numFmtId="49" fontId="4" fillId="0" borderId="10" xfId="142" applyNumberFormat="1" applyFont="1" applyFill="1" applyBorder="1" applyAlignment="1" applyProtection="1">
      <alignment horizontal="center" wrapText="1"/>
      <protection locked="0"/>
    </xf>
    <xf numFmtId="39" fontId="4" fillId="0" borderId="10" xfId="95" applyNumberFormat="1" applyFont="1" applyFill="1" applyBorder="1" applyAlignment="1" applyProtection="1">
      <alignment wrapText="1"/>
      <protection locked="0"/>
    </xf>
    <xf numFmtId="0" fontId="52" fillId="0" borderId="10" xfId="116" applyFont="1" applyFill="1" applyBorder="1"/>
    <xf numFmtId="0" fontId="6" fillId="25" borderId="13" xfId="116" applyFont="1" applyFill="1" applyBorder="1" applyAlignment="1">
      <alignment horizontal="center" vertical="center"/>
    </xf>
    <xf numFmtId="0" fontId="6" fillId="25" borderId="0" xfId="116" applyFont="1" applyFill="1" applyBorder="1"/>
    <xf numFmtId="165" fontId="6" fillId="25" borderId="0" xfId="249" applyFont="1" applyFill="1" applyBorder="1" applyAlignment="1">
      <alignment horizontal="center" vertical="center"/>
    </xf>
    <xf numFmtId="4" fontId="6" fillId="25" borderId="0" xfId="249" applyNumberFormat="1" applyFont="1" applyFill="1" applyBorder="1" applyAlignment="1">
      <alignment horizontal="center"/>
    </xf>
    <xf numFmtId="165" fontId="6" fillId="25" borderId="0" xfId="249" applyFont="1" applyFill="1" applyBorder="1" applyAlignment="1">
      <alignment horizontal="right"/>
    </xf>
    <xf numFmtId="0" fontId="6" fillId="0" borderId="40" xfId="116" applyFont="1" applyFill="1" applyBorder="1" applyAlignment="1">
      <alignment horizontal="center" vertical="center"/>
    </xf>
    <xf numFmtId="0" fontId="6" fillId="0" borderId="15" xfId="116" applyFont="1" applyFill="1" applyBorder="1"/>
    <xf numFmtId="165" fontId="6" fillId="0" borderId="15" xfId="249" applyFont="1" applyFill="1" applyBorder="1" applyAlignment="1">
      <alignment horizontal="center" vertical="center"/>
    </xf>
    <xf numFmtId="4" fontId="6" fillId="0" borderId="15" xfId="249" applyNumberFormat="1" applyFont="1" applyFill="1" applyBorder="1" applyAlignment="1">
      <alignment horizontal="center"/>
    </xf>
    <xf numFmtId="165" fontId="6" fillId="0" borderId="15" xfId="249" applyFont="1" applyFill="1" applyBorder="1" applyAlignment="1">
      <alignment horizontal="right"/>
    </xf>
    <xf numFmtId="0" fontId="6" fillId="0" borderId="13" xfId="116" applyFont="1" applyFill="1" applyBorder="1" applyAlignment="1">
      <alignment horizontal="center" vertical="center"/>
    </xf>
    <xf numFmtId="0" fontId="6" fillId="0" borderId="0" xfId="116" applyFont="1" applyFill="1" applyBorder="1"/>
    <xf numFmtId="165" fontId="6" fillId="0" borderId="0" xfId="249" applyFont="1" applyFill="1" applyBorder="1" applyAlignment="1">
      <alignment horizontal="center" vertical="center"/>
    </xf>
    <xf numFmtId="4" fontId="6" fillId="0" borderId="0" xfId="249" applyNumberFormat="1" applyFont="1" applyFill="1" applyBorder="1" applyAlignment="1">
      <alignment horizontal="center"/>
    </xf>
    <xf numFmtId="165" fontId="6" fillId="0" borderId="0" xfId="249" applyFont="1" applyFill="1" applyBorder="1" applyAlignment="1">
      <alignment horizontal="right"/>
    </xf>
    <xf numFmtId="0" fontId="6" fillId="0" borderId="14" xfId="116" applyFont="1" applyFill="1" applyBorder="1" applyAlignment="1">
      <alignment horizontal="center" vertical="center"/>
    </xf>
    <xf numFmtId="0" fontId="6" fillId="0" borderId="10" xfId="116" applyFont="1" applyFill="1" applyBorder="1"/>
    <xf numFmtId="165" fontId="6" fillId="0" borderId="10" xfId="249" applyFont="1" applyFill="1" applyBorder="1" applyAlignment="1">
      <alignment horizontal="center" vertical="center"/>
    </xf>
    <xf numFmtId="4" fontId="6" fillId="0" borderId="10" xfId="249" applyNumberFormat="1" applyFont="1" applyFill="1" applyBorder="1" applyAlignment="1">
      <alignment horizontal="center"/>
    </xf>
    <xf numFmtId="165" fontId="6" fillId="0" borderId="10" xfId="249" applyFont="1" applyFill="1" applyBorder="1" applyAlignment="1">
      <alignment horizontal="right"/>
    </xf>
    <xf numFmtId="0" fontId="6" fillId="0" borderId="0" xfId="116" applyFont="1" applyFill="1" applyAlignment="1">
      <alignment horizontal="center" vertical="center"/>
    </xf>
    <xf numFmtId="0" fontId="6" fillId="0" borderId="0" xfId="116" applyFont="1" applyFill="1"/>
    <xf numFmtId="165" fontId="6" fillId="0" borderId="0" xfId="249" applyFont="1" applyFill="1" applyAlignment="1">
      <alignment horizontal="center" vertical="center"/>
    </xf>
    <xf numFmtId="4" fontId="6" fillId="0" borderId="0" xfId="249" applyNumberFormat="1" applyFont="1" applyFill="1" applyAlignment="1">
      <alignment horizontal="center"/>
    </xf>
    <xf numFmtId="165" fontId="6" fillId="0" borderId="0" xfId="249" applyFont="1" applyFill="1" applyAlignment="1">
      <alignment horizontal="right"/>
    </xf>
    <xf numFmtId="165" fontId="54" fillId="0" borderId="0" xfId="249" applyFont="1" applyBorder="1" applyAlignment="1">
      <alignment vertical="center"/>
    </xf>
    <xf numFmtId="49" fontId="54" fillId="0" borderId="0" xfId="142" applyNumberFormat="1" applyFont="1" applyFill="1" applyBorder="1" applyAlignment="1" applyProtection="1">
      <alignment wrapText="1"/>
      <protection locked="0"/>
    </xf>
    <xf numFmtId="10" fontId="6" fillId="0" borderId="0" xfId="249" applyNumberFormat="1" applyFont="1" applyFill="1" applyAlignment="1">
      <alignment horizontal="center" vertical="center"/>
    </xf>
    <xf numFmtId="0" fontId="34" fillId="0" borderId="21" xfId="161" applyFont="1" applyBorder="1"/>
    <xf numFmtId="0" fontId="34" fillId="0" borderId="11" xfId="161" applyFont="1" applyBorder="1"/>
    <xf numFmtId="0" fontId="34" fillId="0" borderId="0" xfId="161" applyFont="1" applyBorder="1"/>
    <xf numFmtId="0" fontId="34" fillId="0" borderId="37" xfId="161" applyFont="1" applyBorder="1"/>
    <xf numFmtId="0" fontId="48" fillId="57" borderId="0" xfId="161" applyFont="1" applyFill="1" applyBorder="1" applyAlignment="1">
      <alignment vertical="center"/>
    </xf>
    <xf numFmtId="0" fontId="48" fillId="57" borderId="40" xfId="161" applyFont="1" applyFill="1" applyBorder="1" applyAlignment="1">
      <alignment vertical="center"/>
    </xf>
    <xf numFmtId="0" fontId="34" fillId="57" borderId="21" xfId="161" applyFont="1" applyFill="1" applyBorder="1" applyAlignment="1">
      <alignment vertical="center"/>
    </xf>
    <xf numFmtId="0" fontId="34" fillId="0" borderId="0" xfId="161" applyFont="1" applyFill="1" applyBorder="1" applyAlignment="1">
      <alignment horizontal="left" vertical="center"/>
    </xf>
    <xf numFmtId="0" fontId="34" fillId="0" borderId="0" xfId="161" applyFont="1" applyFill="1" applyBorder="1" applyAlignment="1">
      <alignment vertical="center"/>
    </xf>
    <xf numFmtId="0" fontId="2" fillId="0" borderId="0" xfId="161" applyFont="1" applyFill="1" applyBorder="1" applyAlignment="1">
      <alignment vertical="center"/>
    </xf>
    <xf numFmtId="0" fontId="57" fillId="0" borderId="0" xfId="161" applyFont="1" applyFill="1" applyBorder="1" applyAlignment="1">
      <alignment horizontal="right" vertical="center"/>
    </xf>
    <xf numFmtId="0" fontId="57" fillId="0" borderId="0" xfId="161" applyFont="1" applyFill="1" applyBorder="1" applyAlignment="1">
      <alignment horizontal="left" vertical="center"/>
    </xf>
    <xf numFmtId="0" fontId="34" fillId="0" borderId="0" xfId="161" applyFont="1" applyFill="1" applyAlignment="1">
      <alignment vertical="center"/>
    </xf>
    <xf numFmtId="0" fontId="2" fillId="0" borderId="0" xfId="161" applyFont="1" applyFill="1" applyAlignment="1">
      <alignment vertical="center"/>
    </xf>
    <xf numFmtId="0" fontId="34" fillId="24" borderId="0" xfId="161" applyFont="1" applyFill="1" applyAlignment="1">
      <alignment vertical="center"/>
    </xf>
    <xf numFmtId="0" fontId="48" fillId="57" borderId="13" xfId="161" applyFont="1" applyFill="1" applyBorder="1" applyAlignment="1">
      <alignment vertical="center"/>
    </xf>
    <xf numFmtId="0" fontId="34" fillId="57" borderId="11" xfId="161" applyFont="1" applyFill="1" applyBorder="1" applyAlignment="1">
      <alignment vertical="center"/>
    </xf>
    <xf numFmtId="0" fontId="45" fillId="59" borderId="13" xfId="161" applyFont="1" applyFill="1" applyBorder="1" applyAlignment="1">
      <alignment vertical="center"/>
    </xf>
    <xf numFmtId="0" fontId="34" fillId="59" borderId="0" xfId="161" applyFont="1" applyFill="1" applyBorder="1" applyAlignment="1">
      <alignment vertical="center"/>
    </xf>
    <xf numFmtId="0" fontId="34" fillId="59" borderId="11" xfId="161" applyFont="1" applyFill="1" applyBorder="1" applyAlignment="1">
      <alignment horizontal="left" vertical="center"/>
    </xf>
    <xf numFmtId="0" fontId="34" fillId="57" borderId="0" xfId="161" applyFont="1" applyFill="1" applyBorder="1" applyAlignment="1">
      <alignment vertical="center"/>
    </xf>
    <xf numFmtId="0" fontId="34" fillId="57" borderId="13" xfId="161" applyFont="1" applyFill="1" applyBorder="1" applyAlignment="1">
      <alignment vertical="center"/>
    </xf>
    <xf numFmtId="14" fontId="2" fillId="59" borderId="17" xfId="161" quotePrefix="1" applyNumberFormat="1" applyFont="1" applyFill="1" applyBorder="1" applyAlignment="1">
      <alignment horizontal="center" vertical="center"/>
    </xf>
    <xf numFmtId="0" fontId="2" fillId="57" borderId="0" xfId="161" applyFont="1" applyFill="1" applyBorder="1" applyAlignment="1">
      <alignment vertical="center"/>
    </xf>
    <xf numFmtId="0" fontId="2" fillId="57" borderId="13" xfId="161" applyFont="1" applyFill="1" applyBorder="1" applyAlignment="1">
      <alignment vertical="center"/>
    </xf>
    <xf numFmtId="0" fontId="45" fillId="57" borderId="11" xfId="161" applyFont="1" applyFill="1" applyBorder="1" applyAlignment="1">
      <alignment vertical="center"/>
    </xf>
    <xf numFmtId="0" fontId="45" fillId="0" borderId="0" xfId="161" applyFont="1" applyFill="1" applyBorder="1" applyAlignment="1">
      <alignment horizontal="right" vertical="center"/>
    </xf>
    <xf numFmtId="0" fontId="59" fillId="0" borderId="0" xfId="161" applyFont="1" applyFill="1" applyBorder="1" applyAlignment="1">
      <alignment horizontal="right" vertical="center"/>
    </xf>
    <xf numFmtId="4" fontId="56" fillId="0" borderId="0" xfId="161" applyNumberFormat="1" applyFont="1" applyFill="1" applyBorder="1" applyAlignment="1">
      <alignment horizontal="right" vertical="center"/>
    </xf>
    <xf numFmtId="49" fontId="2" fillId="0" borderId="0" xfId="161" applyNumberFormat="1" applyFont="1" applyFill="1" applyBorder="1" applyAlignment="1">
      <alignment vertical="center"/>
    </xf>
    <xf numFmtId="49" fontId="34" fillId="0" borderId="0" xfId="161" applyNumberFormat="1" applyFont="1" applyFill="1" applyBorder="1" applyAlignment="1">
      <alignment vertical="center"/>
    </xf>
    <xf numFmtId="49" fontId="45" fillId="0" borderId="0" xfId="161" applyNumberFormat="1" applyFont="1" applyFill="1" applyBorder="1" applyAlignment="1">
      <alignment horizontal="left" vertical="center"/>
    </xf>
    <xf numFmtId="49" fontId="45" fillId="0" borderId="0" xfId="161" applyNumberFormat="1" applyFont="1" applyFill="1" applyBorder="1" applyAlignment="1">
      <alignment horizontal="center" vertical="center"/>
    </xf>
    <xf numFmtId="0" fontId="45" fillId="0" borderId="0" xfId="161" applyFont="1" applyFill="1" applyBorder="1" applyAlignment="1">
      <alignment horizontal="center" vertical="center"/>
    </xf>
    <xf numFmtId="4" fontId="56" fillId="0" borderId="0" xfId="161" applyNumberFormat="1" applyFont="1" applyFill="1" applyBorder="1" applyAlignment="1">
      <alignment vertical="center"/>
    </xf>
    <xf numFmtId="0" fontId="45" fillId="59" borderId="33" xfId="161" applyFont="1" applyFill="1" applyBorder="1" applyAlignment="1">
      <alignment vertical="center"/>
    </xf>
    <xf numFmtId="0" fontId="2" fillId="59" borderId="25" xfId="161" applyFont="1" applyFill="1" applyBorder="1" applyAlignment="1">
      <alignment vertical="center"/>
    </xf>
    <xf numFmtId="14" fontId="45" fillId="59" borderId="17" xfId="161" applyNumberFormat="1" applyFont="1" applyFill="1" applyBorder="1" applyAlignment="1">
      <alignment horizontal="center" vertical="center"/>
    </xf>
    <xf numFmtId="0" fontId="34" fillId="57" borderId="14" xfId="161" applyFont="1" applyFill="1" applyBorder="1" applyAlignment="1">
      <alignment vertical="center"/>
    </xf>
    <xf numFmtId="0" fontId="45" fillId="57" borderId="12" xfId="161" applyFont="1" applyFill="1" applyBorder="1" applyAlignment="1">
      <alignment vertical="center"/>
    </xf>
    <xf numFmtId="49" fontId="2" fillId="0" borderId="0" xfId="161" applyNumberFormat="1" applyFont="1" applyFill="1" applyBorder="1" applyAlignment="1">
      <alignment horizontal="left" vertical="center"/>
    </xf>
    <xf numFmtId="49" fontId="2" fillId="0" borderId="0" xfId="161" applyNumberFormat="1" applyFont="1" applyFill="1" applyBorder="1" applyAlignment="1">
      <alignment horizontal="center" vertical="center"/>
    </xf>
    <xf numFmtId="0" fontId="34" fillId="0" borderId="0" xfId="161" applyFont="1" applyFill="1" applyBorder="1" applyAlignment="1">
      <alignment horizontal="center" vertical="center"/>
    </xf>
    <xf numFmtId="49" fontId="56" fillId="57" borderId="13" xfId="161" applyNumberFormat="1" applyFont="1" applyFill="1" applyBorder="1" applyAlignment="1">
      <alignment horizontal="center" vertical="center"/>
    </xf>
    <xf numFmtId="49" fontId="56" fillId="57" borderId="0" xfId="161" applyNumberFormat="1" applyFont="1" applyFill="1" applyBorder="1" applyAlignment="1">
      <alignment horizontal="center" vertical="center"/>
    </xf>
    <xf numFmtId="0" fontId="59" fillId="57" borderId="0" xfId="161" applyFont="1" applyFill="1" applyBorder="1" applyAlignment="1">
      <alignment horizontal="center" vertical="center"/>
    </xf>
    <xf numFmtId="0" fontId="48" fillId="0" borderId="0" xfId="120" applyFont="1" applyBorder="1"/>
    <xf numFmtId="165" fontId="6" fillId="0" borderId="0" xfId="249" applyFont="1" applyBorder="1" applyAlignment="1">
      <alignment horizontal="center"/>
    </xf>
    <xf numFmtId="4" fontId="6" fillId="0" borderId="0" xfId="249" applyNumberFormat="1" applyFont="1" applyBorder="1" applyAlignment="1">
      <alignment horizontal="center"/>
    </xf>
    <xf numFmtId="0" fontId="59" fillId="0" borderId="28" xfId="161" applyFont="1" applyFill="1" applyBorder="1" applyAlignment="1">
      <alignment horizontal="center" vertical="center"/>
    </xf>
    <xf numFmtId="0" fontId="59" fillId="0" borderId="39" xfId="161" applyFont="1" applyFill="1" applyBorder="1" applyAlignment="1">
      <alignment horizontal="center" vertical="center"/>
    </xf>
    <xf numFmtId="0" fontId="2" fillId="0" borderId="0" xfId="161" applyFont="1" applyBorder="1" applyAlignment="1">
      <alignment vertical="center"/>
    </xf>
    <xf numFmtId="168" fontId="57" fillId="0" borderId="0" xfId="120" applyNumberFormat="1" applyFont="1" applyBorder="1"/>
    <xf numFmtId="0" fontId="57" fillId="0" borderId="0" xfId="120" applyFont="1" applyBorder="1"/>
    <xf numFmtId="165" fontId="45" fillId="0" borderId="35" xfId="161" applyNumberFormat="1" applyFont="1" applyFill="1" applyBorder="1" applyAlignment="1">
      <alignment horizontal="center" vertical="center" wrapText="1"/>
    </xf>
    <xf numFmtId="0" fontId="45" fillId="0" borderId="0" xfId="161" applyFont="1" applyFill="1" applyBorder="1" applyAlignment="1">
      <alignment horizontal="justify" vertical="center" wrapText="1"/>
    </xf>
    <xf numFmtId="0" fontId="45" fillId="0" borderId="35" xfId="161" applyFont="1" applyFill="1" applyBorder="1" applyAlignment="1">
      <alignment horizontal="justify" vertical="center" wrapText="1"/>
    </xf>
    <xf numFmtId="0" fontId="34" fillId="0" borderId="31" xfId="161" applyFont="1" applyBorder="1"/>
    <xf numFmtId="0" fontId="57" fillId="0" borderId="0" xfId="120" applyFont="1" applyBorder="1" applyAlignment="1">
      <alignment horizontal="center"/>
    </xf>
    <xf numFmtId="0" fontId="2" fillId="0" borderId="27" xfId="161" applyFont="1" applyBorder="1" applyAlignment="1">
      <alignment horizontal="center" vertical="center"/>
    </xf>
    <xf numFmtId="0" fontId="2" fillId="0" borderId="20" xfId="161" applyFont="1" applyFill="1" applyBorder="1" applyAlignment="1">
      <alignment vertical="center"/>
    </xf>
    <xf numFmtId="10" fontId="2" fillId="60" borderId="26" xfId="323" applyNumberFormat="1" applyFont="1" applyFill="1" applyBorder="1" applyAlignment="1" applyProtection="1">
      <alignment horizontal="center" vertical="center"/>
      <protection locked="0"/>
    </xf>
    <xf numFmtId="10" fontId="2" fillId="0" borderId="0" xfId="323" applyNumberFormat="1" applyFont="1" applyBorder="1" applyAlignment="1">
      <alignment horizontal="center" vertical="center"/>
    </xf>
    <xf numFmtId="10" fontId="2" fillId="0" borderId="27" xfId="323" applyNumberFormat="1" applyFont="1" applyBorder="1" applyAlignment="1">
      <alignment horizontal="center" vertical="center"/>
    </xf>
    <xf numFmtId="10" fontId="2" fillId="0" borderId="26" xfId="323" applyNumberFormat="1" applyFont="1" applyBorder="1" applyAlignment="1">
      <alignment horizontal="center" vertical="center"/>
    </xf>
    <xf numFmtId="168" fontId="57" fillId="0" borderId="0" xfId="120" applyNumberFormat="1" applyFont="1" applyBorder="1" applyAlignment="1">
      <alignment horizontal="right"/>
    </xf>
    <xf numFmtId="4" fontId="50" fillId="0" borderId="0" xfId="249" applyNumberFormat="1" applyFont="1" applyFill="1" applyBorder="1" applyAlignment="1">
      <alignment horizontal="center" vertical="center"/>
    </xf>
    <xf numFmtId="0" fontId="2" fillId="0" borderId="0" xfId="120" applyFont="1" applyBorder="1" applyAlignment="1">
      <alignment horizontal="right"/>
    </xf>
    <xf numFmtId="166" fontId="50" fillId="0" borderId="0" xfId="249" applyNumberFormat="1" applyFont="1" applyFill="1" applyBorder="1" applyAlignment="1">
      <alignment horizontal="center"/>
    </xf>
    <xf numFmtId="0" fontId="50" fillId="0" borderId="0" xfId="120" applyFont="1" applyBorder="1" applyAlignment="1">
      <alignment horizontal="right"/>
    </xf>
    <xf numFmtId="10" fontId="45" fillId="0" borderId="39" xfId="323" applyNumberFormat="1" applyFont="1" applyBorder="1" applyAlignment="1">
      <alignment horizontal="center" vertical="center"/>
    </xf>
    <xf numFmtId="10" fontId="45" fillId="0" borderId="0" xfId="323" applyNumberFormat="1" applyFont="1" applyBorder="1" applyAlignment="1">
      <alignment horizontal="center" vertical="center"/>
    </xf>
    <xf numFmtId="10" fontId="2" fillId="0" borderId="28" xfId="323" applyNumberFormat="1" applyFont="1" applyBorder="1" applyAlignment="1">
      <alignment horizontal="center" vertical="center"/>
    </xf>
    <xf numFmtId="10" fontId="2" fillId="0" borderId="39" xfId="323" applyNumberFormat="1" applyFont="1" applyBorder="1" applyAlignment="1">
      <alignment horizontal="center" vertical="center"/>
    </xf>
    <xf numFmtId="0" fontId="2" fillId="0" borderId="0" xfId="161" applyFont="1" applyBorder="1" applyAlignment="1">
      <alignment horizontal="center" vertical="center"/>
    </xf>
    <xf numFmtId="10" fontId="2" fillId="0" borderId="11" xfId="323" applyNumberFormat="1" applyFont="1" applyBorder="1" applyAlignment="1">
      <alignment horizontal="center" vertical="center"/>
    </xf>
    <xf numFmtId="0" fontId="57" fillId="0" borderId="0" xfId="120" applyFont="1" applyBorder="1" applyAlignment="1">
      <alignment horizontal="right"/>
    </xf>
    <xf numFmtId="4" fontId="57" fillId="0" borderId="0" xfId="178" applyNumberFormat="1" applyFont="1" applyFill="1" applyBorder="1" applyAlignment="1">
      <alignment horizontal="center"/>
    </xf>
    <xf numFmtId="10" fontId="2" fillId="0" borderId="35" xfId="323" applyNumberFormat="1" applyFont="1" applyBorder="1" applyAlignment="1">
      <alignment horizontal="center" vertical="center"/>
    </xf>
    <xf numFmtId="10" fontId="2" fillId="0" borderId="31" xfId="323" applyNumberFormat="1" applyFont="1" applyBorder="1" applyAlignment="1">
      <alignment horizontal="center" vertical="center"/>
    </xf>
    <xf numFmtId="10" fontId="57" fillId="0" borderId="0" xfId="178" applyNumberFormat="1" applyFont="1" applyFill="1" applyBorder="1" applyAlignment="1">
      <alignment horizontal="center"/>
    </xf>
    <xf numFmtId="0" fontId="48" fillId="0" borderId="0" xfId="120" applyFont="1" applyBorder="1" applyAlignment="1">
      <alignment vertical="justify"/>
    </xf>
    <xf numFmtId="0" fontId="2" fillId="0" borderId="41" xfId="161" applyFont="1" applyBorder="1" applyAlignment="1">
      <alignment horizontal="center" vertical="center"/>
    </xf>
    <xf numFmtId="10" fontId="45" fillId="0" borderId="0" xfId="323" applyNumberFormat="1" applyFont="1" applyBorder="1" applyAlignment="1">
      <alignment horizontal="center" vertical="center" wrapText="1"/>
    </xf>
    <xf numFmtId="168" fontId="49" fillId="0" borderId="0" xfId="120" applyNumberFormat="1" applyFont="1" applyBorder="1" applyAlignment="1">
      <alignment horizontal="right"/>
    </xf>
    <xf numFmtId="10" fontId="48" fillId="0" borderId="0" xfId="178" applyNumberFormat="1" applyFont="1" applyFill="1" applyBorder="1" applyAlignment="1">
      <alignment horizontal="center"/>
    </xf>
    <xf numFmtId="10" fontId="2" fillId="0" borderId="36" xfId="323" applyNumberFormat="1" applyFont="1" applyBorder="1" applyAlignment="1">
      <alignment horizontal="center" vertical="center"/>
    </xf>
    <xf numFmtId="10" fontId="2" fillId="0" borderId="17" xfId="323" applyNumberFormat="1" applyFont="1" applyBorder="1" applyAlignment="1">
      <alignment horizontal="center" vertical="center"/>
    </xf>
    <xf numFmtId="0" fontId="39" fillId="0" borderId="0" xfId="120" applyFont="1" applyBorder="1" applyAlignment="1">
      <alignment vertical="distributed" wrapText="1"/>
    </xf>
    <xf numFmtId="165" fontId="39" fillId="0" borderId="0" xfId="249" applyFont="1" applyBorder="1" applyAlignment="1">
      <alignment horizontal="center"/>
    </xf>
    <xf numFmtId="4" fontId="39" fillId="0" borderId="0" xfId="249" applyNumberFormat="1" applyFont="1" applyBorder="1" applyAlignment="1">
      <alignment horizontal="center"/>
    </xf>
    <xf numFmtId="165" fontId="39" fillId="0" borderId="0" xfId="249" applyFont="1" applyBorder="1" applyAlignment="1"/>
    <xf numFmtId="0" fontId="2" fillId="0" borderId="32" xfId="161" applyFont="1" applyFill="1" applyBorder="1" applyAlignment="1">
      <alignment vertical="center"/>
    </xf>
    <xf numFmtId="10" fontId="2" fillId="60" borderId="42" xfId="323" applyNumberFormat="1" applyFont="1" applyFill="1" applyBorder="1" applyAlignment="1" applyProtection="1">
      <alignment horizontal="center" vertical="center"/>
      <protection locked="0"/>
    </xf>
    <xf numFmtId="0" fontId="2" fillId="0" borderId="13" xfId="161" applyFont="1" applyFill="1" applyBorder="1" applyAlignment="1">
      <alignment horizontal="center" vertical="center"/>
    </xf>
    <xf numFmtId="0" fontId="2" fillId="0" borderId="0" xfId="161" applyFont="1" applyFill="1" applyBorder="1" applyAlignment="1">
      <alignment horizontal="center" vertical="center"/>
    </xf>
    <xf numFmtId="165" fontId="45" fillId="0" borderId="13" xfId="161" applyNumberFormat="1" applyFont="1" applyFill="1" applyBorder="1" applyAlignment="1">
      <alignment horizontal="center" vertical="center" wrapText="1"/>
    </xf>
    <xf numFmtId="165" fontId="2" fillId="0" borderId="0" xfId="161" applyNumberFormat="1" applyFont="1" applyBorder="1" applyAlignment="1">
      <alignment vertical="center"/>
    </xf>
    <xf numFmtId="0" fontId="2" fillId="0" borderId="13" xfId="161" applyFont="1" applyFill="1" applyBorder="1" applyAlignment="1">
      <alignment horizontal="right" vertical="center"/>
    </xf>
    <xf numFmtId="0" fontId="2" fillId="0" borderId="0" xfId="161" applyFont="1" applyFill="1" applyBorder="1" applyAlignment="1">
      <alignment horizontal="right" vertical="center"/>
    </xf>
    <xf numFmtId="164" fontId="60" fillId="0" borderId="0" xfId="323" applyNumberFormat="1" applyFont="1" applyBorder="1" applyAlignment="1">
      <alignment vertical="center"/>
    </xf>
    <xf numFmtId="10" fontId="49" fillId="0" borderId="0" xfId="161" applyNumberFormat="1" applyFont="1" applyFill="1" applyBorder="1" applyAlignment="1">
      <alignment vertical="center"/>
    </xf>
    <xf numFmtId="10" fontId="2" fillId="0" borderId="17" xfId="161" applyNumberFormat="1" applyFont="1" applyFill="1" applyBorder="1" applyAlignment="1">
      <alignment horizontal="center" vertical="center"/>
    </xf>
    <xf numFmtId="10" fontId="49" fillId="0" borderId="10" xfId="161" applyNumberFormat="1" applyFont="1" applyFill="1" applyBorder="1" applyAlignment="1">
      <alignment vertical="center"/>
    </xf>
    <xf numFmtId="0" fontId="34" fillId="0" borderId="10" xfId="161" applyFont="1" applyBorder="1"/>
    <xf numFmtId="0" fontId="34" fillId="0" borderId="12" xfId="161" applyFont="1" applyBorder="1"/>
    <xf numFmtId="0" fontId="48" fillId="60" borderId="0" xfId="161" applyFont="1" applyFill="1" applyAlignment="1">
      <alignment horizontal="center" vertical="center"/>
    </xf>
    <xf numFmtId="0" fontId="57" fillId="0" borderId="0" xfId="161" applyFont="1"/>
    <xf numFmtId="0" fontId="34" fillId="0" borderId="0" xfId="161" applyFont="1" applyAlignment="1">
      <alignment horizontal="center" vertical="center"/>
    </xf>
    <xf numFmtId="4" fontId="90" fillId="58" borderId="19" xfId="187" applyNumberFormat="1" applyFont="1" applyFill="1" applyBorder="1" applyAlignment="1">
      <alignment horizontal="right"/>
    </xf>
    <xf numFmtId="0" fontId="6" fillId="0" borderId="0" xfId="249" applyNumberFormat="1" applyFont="1" applyAlignment="1">
      <alignment horizontal="center" vertical="center"/>
    </xf>
    <xf numFmtId="165" fontId="85" fillId="0" borderId="0" xfId="249" applyFont="1" applyFill="1" applyBorder="1" applyAlignment="1" applyProtection="1">
      <alignment horizontal="center" vertical="center" wrapText="1"/>
      <protection locked="0"/>
    </xf>
    <xf numFmtId="165" fontId="85" fillId="0" borderId="0" xfId="249" applyFont="1" applyFill="1" applyBorder="1" applyAlignment="1" applyProtection="1">
      <alignment horizontal="center" wrapText="1"/>
      <protection locked="0"/>
    </xf>
    <xf numFmtId="4" fontId="90" fillId="58" borderId="19" xfId="249" applyNumberFormat="1" applyFont="1" applyFill="1" applyBorder="1" applyAlignment="1">
      <alignment horizontal="right"/>
    </xf>
    <xf numFmtId="4" fontId="90" fillId="58" borderId="19" xfId="249" applyNumberFormat="1" applyFont="1" applyFill="1" applyBorder="1" applyAlignment="1">
      <alignment horizontal="right" wrapText="1"/>
    </xf>
    <xf numFmtId="0" fontId="85" fillId="0" borderId="0" xfId="122" applyFont="1" applyBorder="1" applyAlignment="1">
      <alignment vertical="distributed" wrapText="1"/>
    </xf>
    <xf numFmtId="0" fontId="28" fillId="0" borderId="29" xfId="0" applyFont="1" applyFill="1" applyBorder="1" applyAlignment="1">
      <alignment vertical="distributed" wrapText="1"/>
    </xf>
    <xf numFmtId="165" fontId="28" fillId="0" borderId="23" xfId="249" applyFont="1" applyFill="1" applyBorder="1" applyAlignment="1">
      <alignment horizontal="right"/>
    </xf>
    <xf numFmtId="0" fontId="89" fillId="0" borderId="0" xfId="120" applyFont="1"/>
    <xf numFmtId="0" fontId="41" fillId="0" borderId="11" xfId="161" applyFont="1" applyBorder="1" applyAlignment="1">
      <alignment horizontal="center"/>
    </xf>
    <xf numFmtId="39" fontId="45" fillId="0" borderId="37" xfId="161" applyNumberFormat="1" applyFont="1" applyBorder="1" applyAlignment="1">
      <alignment horizontal="center"/>
    </xf>
    <xf numFmtId="22" fontId="41" fillId="0" borderId="38" xfId="161" applyNumberFormat="1" applyFont="1" applyBorder="1" applyAlignment="1">
      <alignment horizontal="center"/>
    </xf>
    <xf numFmtId="0" fontId="4" fillId="0" borderId="0" xfId="120" applyFont="1" applyAlignment="1">
      <alignment vertical="distributed" wrapText="1"/>
    </xf>
    <xf numFmtId="0" fontId="1" fillId="0" borderId="0" xfId="120" applyFont="1"/>
    <xf numFmtId="49" fontId="50" fillId="0" borderId="13" xfId="142" applyNumberFormat="1" applyFont="1" applyFill="1" applyBorder="1" applyAlignment="1" applyProtection="1">
      <alignment horizontal="left" vertical="center" wrapText="1"/>
      <protection locked="0"/>
    </xf>
    <xf numFmtId="49" fontId="50" fillId="0" borderId="0" xfId="142" applyNumberFormat="1" applyFont="1" applyFill="1" applyBorder="1" applyAlignment="1" applyProtection="1">
      <alignment horizontal="left" vertical="center" wrapText="1"/>
      <protection locked="0"/>
    </xf>
    <xf numFmtId="49" fontId="50" fillId="0" borderId="0" xfId="142" applyNumberFormat="1" applyFont="1" applyFill="1" applyBorder="1" applyAlignment="1" applyProtection="1">
      <alignment vertical="distributed" wrapText="1"/>
      <protection locked="0"/>
    </xf>
    <xf numFmtId="49" fontId="49" fillId="0" borderId="0" xfId="142" applyNumberFormat="1" applyFont="1" applyFill="1" applyBorder="1" applyAlignment="1" applyProtection="1">
      <alignment wrapText="1"/>
      <protection locked="0"/>
    </xf>
    <xf numFmtId="2" fontId="1" fillId="0" borderId="30" xfId="249" applyNumberFormat="1" applyFont="1" applyFill="1" applyBorder="1" applyAlignment="1">
      <alignment horizontal="center" vertical="center"/>
    </xf>
    <xf numFmtId="2" fontId="1" fillId="0" borderId="31" xfId="249" applyNumberFormat="1" applyFont="1" applyFill="1" applyBorder="1" applyAlignment="1">
      <alignment horizontal="center" vertical="center"/>
    </xf>
    <xf numFmtId="2" fontId="1" fillId="0" borderId="20" xfId="249" applyNumberFormat="1" applyFont="1" applyFill="1" applyBorder="1" applyAlignment="1">
      <alignment horizontal="center" vertical="center"/>
    </xf>
    <xf numFmtId="2" fontId="1" fillId="0" borderId="26" xfId="249" applyNumberFormat="1" applyFont="1" applyFill="1" applyBorder="1" applyAlignment="1">
      <alignment horizontal="center" vertical="center"/>
    </xf>
    <xf numFmtId="2" fontId="49" fillId="0" borderId="10" xfId="249" applyNumberFormat="1" applyFont="1" applyFill="1" applyBorder="1" applyAlignment="1">
      <alignment horizontal="center" vertical="center"/>
    </xf>
    <xf numFmtId="2" fontId="49" fillId="0" borderId="12" xfId="249" applyNumberFormat="1" applyFont="1" applyFill="1" applyBorder="1" applyAlignment="1">
      <alignment horizontal="center" vertical="center"/>
    </xf>
    <xf numFmtId="4" fontId="1" fillId="0" borderId="30" xfId="249" applyNumberFormat="1" applyFont="1" applyFill="1" applyBorder="1" applyAlignment="1">
      <alignment horizontal="center" vertical="center"/>
    </xf>
    <xf numFmtId="4" fontId="1" fillId="0" borderId="20" xfId="249" applyNumberFormat="1" applyFont="1" applyFill="1" applyBorder="1" applyAlignment="1">
      <alignment horizontal="center" vertical="center"/>
    </xf>
    <xf numFmtId="4" fontId="1" fillId="0" borderId="31" xfId="249" applyNumberFormat="1" applyFont="1" applyFill="1" applyBorder="1" applyAlignment="1">
      <alignment horizontal="center" vertical="center"/>
    </xf>
    <xf numFmtId="4" fontId="1" fillId="0" borderId="26" xfId="249" applyNumberFormat="1" applyFont="1" applyFill="1" applyBorder="1" applyAlignment="1">
      <alignment horizontal="center" vertical="center"/>
    </xf>
    <xf numFmtId="4" fontId="49" fillId="0" borderId="10" xfId="249" applyNumberFormat="1" applyFont="1" applyFill="1" applyBorder="1" applyAlignment="1">
      <alignment horizontal="center" vertical="center"/>
    </xf>
    <xf numFmtId="4" fontId="49" fillId="0" borderId="12" xfId="249" applyNumberFormat="1" applyFont="1" applyFill="1" applyBorder="1" applyAlignment="1">
      <alignment horizontal="center" vertical="center"/>
    </xf>
    <xf numFmtId="4" fontId="49" fillId="0" borderId="0" xfId="249" applyNumberFormat="1" applyFont="1" applyFill="1" applyBorder="1" applyAlignment="1">
      <alignment horizontal="center" vertical="center"/>
    </xf>
    <xf numFmtId="4" fontId="49" fillId="0" borderId="11" xfId="249" applyNumberFormat="1" applyFont="1" applyFill="1" applyBorder="1" applyAlignment="1">
      <alignment horizontal="center" vertical="center"/>
    </xf>
    <xf numFmtId="4" fontId="49" fillId="0" borderId="19" xfId="249" applyNumberFormat="1" applyFont="1" applyFill="1" applyBorder="1" applyAlignment="1">
      <alignment horizontal="center" vertical="center"/>
    </xf>
    <xf numFmtId="4" fontId="49" fillId="0" borderId="25" xfId="249" applyNumberFormat="1" applyFont="1" applyFill="1" applyBorder="1" applyAlignment="1">
      <alignment horizontal="center" vertical="center"/>
    </xf>
    <xf numFmtId="0" fontId="28" fillId="0" borderId="32" xfId="120" quotePrefix="1" applyFont="1" applyBorder="1" applyAlignment="1">
      <alignment vertical="distributed" wrapText="1"/>
    </xf>
    <xf numFmtId="0" fontId="48" fillId="0" borderId="13" xfId="161" applyFont="1" applyBorder="1" applyAlignment="1">
      <alignment horizontal="center"/>
    </xf>
    <xf numFmtId="0" fontId="48" fillId="0" borderId="0" xfId="161" applyFont="1" applyAlignment="1">
      <alignment horizontal="center"/>
    </xf>
    <xf numFmtId="0" fontId="46" fillId="0" borderId="15" xfId="161" applyFont="1" applyBorder="1" applyAlignment="1"/>
    <xf numFmtId="0" fontId="46" fillId="0" borderId="15" xfId="161" applyFont="1" applyBorder="1" applyAlignment="1">
      <alignment vertical="center"/>
    </xf>
    <xf numFmtId="0" fontId="45" fillId="0" borderId="0" xfId="161" applyFont="1" applyBorder="1" applyAlignment="1"/>
    <xf numFmtId="0" fontId="49" fillId="0" borderId="0" xfId="161" applyFont="1" applyBorder="1" applyAlignment="1"/>
    <xf numFmtId="2" fontId="1" fillId="0" borderId="22" xfId="249" applyNumberFormat="1" applyFont="1" applyFill="1" applyBorder="1" applyAlignment="1">
      <alignment horizontal="center" vertical="center"/>
    </xf>
    <xf numFmtId="2" fontId="1" fillId="0" borderId="23" xfId="249" applyNumberFormat="1" applyFont="1" applyFill="1" applyBorder="1" applyAlignment="1">
      <alignment horizontal="center" vertical="center"/>
    </xf>
    <xf numFmtId="0" fontId="49" fillId="0" borderId="13" xfId="120" applyFont="1" applyBorder="1" applyAlignment="1">
      <alignment horizontal="center"/>
    </xf>
    <xf numFmtId="0" fontId="49" fillId="0" borderId="0" xfId="120" applyFont="1" applyAlignment="1">
      <alignment horizontal="center"/>
    </xf>
    <xf numFmtId="0" fontId="30" fillId="58" borderId="19" xfId="0" applyFont="1" applyFill="1" applyBorder="1" applyAlignment="1">
      <alignment horizontal="center" vertical="distributed" wrapText="1"/>
    </xf>
    <xf numFmtId="4" fontId="42" fillId="0" borderId="20" xfId="249" applyNumberFormat="1" applyFont="1" applyFill="1" applyBorder="1" applyAlignment="1">
      <alignment horizontal="right"/>
    </xf>
    <xf numFmtId="0" fontId="42" fillId="0" borderId="32" xfId="0" applyFont="1" applyBorder="1" applyAlignment="1">
      <alignment vertical="distributed" wrapText="1"/>
    </xf>
    <xf numFmtId="165" fontId="42" fillId="0" borderId="32" xfId="249" applyFont="1" applyFill="1" applyBorder="1" applyAlignment="1">
      <alignment horizontal="center"/>
    </xf>
    <xf numFmtId="49" fontId="40" fillId="58" borderId="15" xfId="249" applyNumberFormat="1" applyFont="1" applyFill="1" applyBorder="1" applyAlignment="1">
      <alignment horizontal="center" vertical="center"/>
    </xf>
    <xf numFmtId="0" fontId="30" fillId="58" borderId="15" xfId="0" applyFont="1" applyFill="1" applyBorder="1" applyAlignment="1">
      <alignment horizontal="center" vertical="distributed" wrapText="1"/>
    </xf>
    <xf numFmtId="165" fontId="30" fillId="58" borderId="15" xfId="249" applyFont="1" applyFill="1" applyBorder="1" applyAlignment="1">
      <alignment horizontal="center"/>
    </xf>
    <xf numFmtId="4" fontId="90" fillId="58" borderId="15" xfId="249" applyNumberFormat="1" applyFont="1" applyFill="1" applyBorder="1" applyAlignment="1">
      <alignment horizontal="right"/>
    </xf>
    <xf numFmtId="4" fontId="30" fillId="58" borderId="15" xfId="187" applyNumberFormat="1" applyFont="1" applyFill="1" applyBorder="1" applyAlignment="1">
      <alignment horizontal="right"/>
    </xf>
    <xf numFmtId="0" fontId="28" fillId="0" borderId="20" xfId="120" applyFont="1" applyBorder="1" applyAlignment="1">
      <alignment horizontal="center" vertical="distributed"/>
    </xf>
    <xf numFmtId="0" fontId="30" fillId="58" borderId="40" xfId="249" applyNumberFormat="1" applyFont="1" applyFill="1" applyBorder="1" applyAlignment="1">
      <alignment horizontal="center" vertical="center"/>
    </xf>
    <xf numFmtId="43" fontId="95" fillId="0" borderId="0" xfId="309" applyFont="1"/>
    <xf numFmtId="0" fontId="96" fillId="0" borderId="15" xfId="161" applyFont="1" applyBorder="1"/>
    <xf numFmtId="0" fontId="96" fillId="0" borderId="21" xfId="161" applyFont="1" applyBorder="1"/>
    <xf numFmtId="0" fontId="97" fillId="0" borderId="0" xfId="161" applyFont="1"/>
    <xf numFmtId="0" fontId="96" fillId="0" borderId="0" xfId="161" applyFont="1"/>
    <xf numFmtId="0" fontId="96" fillId="0" borderId="11" xfId="161" applyFont="1" applyBorder="1"/>
    <xf numFmtId="0" fontId="95" fillId="0" borderId="13" xfId="161" applyFont="1" applyBorder="1"/>
    <xf numFmtId="0" fontId="95" fillId="0" borderId="0" xfId="161" applyFont="1"/>
    <xf numFmtId="0" fontId="95" fillId="0" borderId="11" xfId="161" applyFont="1" applyBorder="1"/>
    <xf numFmtId="49" fontId="95" fillId="0" borderId="13" xfId="142" applyNumberFormat="1" applyFont="1" applyBorder="1" applyAlignment="1" applyProtection="1">
      <alignment horizontal="left" vertical="center" wrapText="1"/>
      <protection locked="0"/>
    </xf>
    <xf numFmtId="49" fontId="95" fillId="0" borderId="0" xfId="142" applyNumberFormat="1" applyFont="1" applyAlignment="1" applyProtection="1">
      <alignment horizontal="left" vertical="center" wrapText="1"/>
      <protection locked="0"/>
    </xf>
    <xf numFmtId="49" fontId="95" fillId="0" borderId="0" xfId="142" applyNumberFormat="1" applyFont="1" applyAlignment="1" applyProtection="1">
      <alignment vertical="distributed" wrapText="1"/>
      <protection locked="0"/>
    </xf>
    <xf numFmtId="0" fontId="96" fillId="0" borderId="0" xfId="203" applyNumberFormat="1" applyFont="1" applyAlignment="1" applyProtection="1">
      <alignment vertical="center" wrapText="1"/>
      <protection locked="0"/>
    </xf>
    <xf numFmtId="0" fontId="96" fillId="0" borderId="11" xfId="203" applyNumberFormat="1" applyFont="1" applyBorder="1" applyAlignment="1" applyProtection="1">
      <alignment vertical="center" wrapText="1"/>
      <protection locked="0"/>
    </xf>
    <xf numFmtId="0" fontId="97" fillId="0" borderId="0" xfId="0" applyFont="1"/>
    <xf numFmtId="0" fontId="95" fillId="0" borderId="0" xfId="0" applyFont="1"/>
    <xf numFmtId="0" fontId="95" fillId="0" borderId="20" xfId="167" applyFont="1" applyBorder="1" applyAlignment="1">
      <alignment horizontal="center" vertical="center" wrapText="1"/>
    </xf>
    <xf numFmtId="0" fontId="95" fillId="0" borderId="20" xfId="167" applyFont="1" applyBorder="1" applyAlignment="1">
      <alignment horizontal="left" vertical="center" wrapText="1"/>
    </xf>
    <xf numFmtId="0" fontId="96" fillId="58" borderId="20" xfId="167" applyFont="1" applyFill="1" applyBorder="1" applyAlignment="1">
      <alignment horizontal="center" vertical="center" wrapText="1"/>
    </xf>
    <xf numFmtId="0" fontId="96" fillId="58" borderId="20" xfId="167" applyFont="1" applyFill="1" applyBorder="1" applyAlignment="1">
      <alignment horizontal="left" vertical="center" wrapText="1"/>
    </xf>
    <xf numFmtId="0" fontId="95" fillId="0" borderId="20" xfId="167" applyFont="1" applyFill="1" applyBorder="1" applyAlignment="1">
      <alignment horizontal="center" vertical="center" wrapText="1"/>
    </xf>
    <xf numFmtId="174" fontId="95" fillId="0" borderId="20" xfId="309" applyNumberFormat="1" applyFont="1" applyBorder="1" applyAlignment="1">
      <alignment horizontal="center" vertical="center" wrapText="1"/>
    </xf>
    <xf numFmtId="43" fontId="95" fillId="0" borderId="20" xfId="309" applyFont="1" applyFill="1" applyBorder="1" applyAlignment="1">
      <alignment horizontal="center" vertical="center" wrapText="1"/>
    </xf>
    <xf numFmtId="43" fontId="95" fillId="0" borderId="20" xfId="309" applyFont="1" applyBorder="1" applyAlignment="1">
      <alignment horizontal="center" vertical="center" wrapText="1"/>
    </xf>
    <xf numFmtId="0" fontId="95" fillId="0" borderId="0" xfId="116" applyFont="1"/>
    <xf numFmtId="43" fontId="96" fillId="0" borderId="20" xfId="309" applyFont="1" applyBorder="1" applyAlignment="1">
      <alignment horizontal="center" vertical="center" wrapText="1"/>
    </xf>
    <xf numFmtId="43" fontId="96" fillId="0" borderId="22" xfId="309" applyFont="1" applyBorder="1" applyAlignment="1">
      <alignment horizontal="center" vertical="center" wrapText="1"/>
    </xf>
    <xf numFmtId="0" fontId="97" fillId="0" borderId="20" xfId="0" applyFont="1" applyBorder="1"/>
    <xf numFmtId="0" fontId="97" fillId="0" borderId="0" xfId="0" applyFont="1" applyBorder="1"/>
    <xf numFmtId="0" fontId="28" fillId="0" borderId="32" xfId="0" applyFont="1" applyBorder="1" applyAlignment="1">
      <alignment vertical="distributed" wrapText="1"/>
    </xf>
    <xf numFmtId="0" fontId="95" fillId="0" borderId="0" xfId="167" applyFont="1" applyBorder="1" applyAlignment="1">
      <alignment horizontal="center" vertical="center" wrapText="1"/>
    </xf>
    <xf numFmtId="0" fontId="95" fillId="0" borderId="0" xfId="167" applyFont="1" applyFill="1" applyBorder="1" applyAlignment="1">
      <alignment horizontal="center" vertical="center" wrapText="1"/>
    </xf>
    <xf numFmtId="0" fontId="95" fillId="0" borderId="0" xfId="167" applyFont="1" applyBorder="1" applyAlignment="1">
      <alignment horizontal="left" vertical="center" wrapText="1"/>
    </xf>
    <xf numFmtId="174" fontId="95" fillId="0" borderId="0" xfId="309" applyNumberFormat="1" applyFont="1" applyBorder="1" applyAlignment="1">
      <alignment horizontal="center" vertical="center" wrapText="1"/>
    </xf>
    <xf numFmtId="0" fontId="96" fillId="0" borderId="20" xfId="167" applyFont="1" applyFill="1" applyBorder="1" applyAlignment="1">
      <alignment horizontal="center" vertical="center" wrapText="1"/>
    </xf>
    <xf numFmtId="43" fontId="96" fillId="0" borderId="20" xfId="309" applyNumberFormat="1" applyFont="1" applyBorder="1" applyAlignment="1">
      <alignment horizontal="center" vertical="center" wrapText="1"/>
    </xf>
    <xf numFmtId="175" fontId="95" fillId="0" borderId="20" xfId="167" applyNumberFormat="1" applyFont="1" applyFill="1" applyBorder="1" applyAlignment="1">
      <alignment horizontal="center" vertical="center" wrapText="1"/>
    </xf>
    <xf numFmtId="43" fontId="96" fillId="0" borderId="22" xfId="309" applyNumberFormat="1" applyFont="1" applyBorder="1" applyAlignment="1">
      <alignment horizontal="center" vertical="center" wrapText="1"/>
    </xf>
    <xf numFmtId="43" fontId="95" fillId="0" borderId="20" xfId="309" applyNumberFormat="1" applyFont="1" applyBorder="1" applyAlignment="1">
      <alignment horizontal="center" vertical="center" wrapText="1"/>
    </xf>
    <xf numFmtId="43" fontId="95" fillId="0" borderId="20" xfId="309" applyNumberFormat="1" applyFont="1" applyBorder="1" applyAlignment="1">
      <alignment vertical="center" wrapText="1"/>
    </xf>
    <xf numFmtId="2" fontId="95" fillId="0" borderId="20" xfId="167" applyNumberFormat="1" applyFont="1" applyBorder="1" applyAlignment="1">
      <alignment horizontal="center" vertical="center" wrapText="1"/>
    </xf>
    <xf numFmtId="176" fontId="95" fillId="0" borderId="20" xfId="167" applyNumberFormat="1" applyFont="1" applyFill="1" applyBorder="1" applyAlignment="1">
      <alignment horizontal="center" vertical="center" wrapText="1"/>
    </xf>
    <xf numFmtId="176" fontId="96" fillId="0" borderId="22" xfId="309" applyNumberFormat="1" applyFont="1" applyBorder="1" applyAlignment="1">
      <alignment horizontal="center" vertical="center" wrapText="1"/>
    </xf>
    <xf numFmtId="2" fontId="95" fillId="0" borderId="20" xfId="167" applyNumberFormat="1" applyFont="1" applyFill="1" applyBorder="1" applyAlignment="1">
      <alignment horizontal="center" vertical="center" wrapText="1"/>
    </xf>
    <xf numFmtId="2" fontId="95" fillId="0" borderId="20" xfId="309" applyNumberFormat="1" applyFont="1" applyFill="1" applyBorder="1" applyAlignment="1">
      <alignment horizontal="center" vertical="center" wrapText="1"/>
    </xf>
    <xf numFmtId="176" fontId="96" fillId="0" borderId="20" xfId="309" applyNumberFormat="1" applyFont="1" applyBorder="1" applyAlignment="1">
      <alignment horizontal="center" vertical="center" wrapText="1"/>
    </xf>
    <xf numFmtId="0" fontId="96" fillId="0" borderId="0" xfId="167" applyFont="1" applyFill="1" applyBorder="1" applyAlignment="1">
      <alignment horizontal="center" vertical="center" wrapText="1"/>
    </xf>
    <xf numFmtId="43" fontId="95" fillId="0" borderId="0" xfId="309" applyNumberFormat="1" applyFont="1" applyBorder="1" applyAlignment="1">
      <alignment vertical="center" wrapText="1"/>
    </xf>
    <xf numFmtId="176" fontId="95" fillId="0" borderId="20" xfId="167" applyNumberFormat="1" applyFont="1" applyFill="1" applyBorder="1" applyAlignment="1">
      <alignment vertical="center" wrapText="1"/>
    </xf>
    <xf numFmtId="165" fontId="95" fillId="0" borderId="20" xfId="167" applyNumberFormat="1" applyFont="1" applyFill="1" applyBorder="1" applyAlignment="1">
      <alignment horizontal="center" vertical="center" wrapText="1"/>
    </xf>
    <xf numFmtId="0" fontId="99" fillId="58" borderId="33" xfId="249" applyNumberFormat="1" applyFont="1" applyFill="1" applyBorder="1" applyAlignment="1">
      <alignment horizontal="center" vertical="center"/>
    </xf>
    <xf numFmtId="43" fontId="96" fillId="0" borderId="0" xfId="309" applyFont="1" applyBorder="1" applyAlignment="1">
      <alignment horizontal="center" vertical="center" wrapText="1"/>
    </xf>
    <xf numFmtId="43" fontId="96" fillId="0" borderId="0" xfId="309" applyNumberFormat="1" applyFont="1" applyBorder="1" applyAlignment="1">
      <alignment horizontal="center" vertical="center" wrapText="1"/>
    </xf>
    <xf numFmtId="0" fontId="6" fillId="0" borderId="0" xfId="120" applyFont="1" applyAlignment="1">
      <alignment horizontal="center" vertical="center"/>
    </xf>
    <xf numFmtId="0" fontId="84" fillId="0" borderId="0" xfId="120" applyFont="1" applyAlignment="1">
      <alignment horizontal="center" vertical="center"/>
    </xf>
    <xf numFmtId="0" fontId="39" fillId="0" borderId="0" xfId="120" applyFont="1" applyAlignment="1">
      <alignment horizontal="center" vertical="center"/>
    </xf>
    <xf numFmtId="49" fontId="29" fillId="0" borderId="0" xfId="142" applyNumberFormat="1" applyFont="1" applyFill="1" applyBorder="1" applyAlignment="1" applyProtection="1">
      <alignment horizontal="left" wrapText="1"/>
      <protection locked="0"/>
    </xf>
    <xf numFmtId="49" fontId="4" fillId="0" borderId="0" xfId="142" applyNumberFormat="1" applyFont="1" applyFill="1" applyBorder="1" applyAlignment="1" applyProtection="1">
      <alignment horizontal="center" wrapText="1"/>
      <protection locked="0"/>
    </xf>
    <xf numFmtId="10" fontId="54" fillId="0" borderId="0" xfId="178" applyNumberFormat="1" applyFont="1" applyBorder="1" applyAlignment="1">
      <alignment horizontal="center"/>
    </xf>
    <xf numFmtId="172" fontId="31" fillId="0" borderId="10" xfId="95" applyNumberFormat="1" applyFont="1" applyFill="1" applyBorder="1" applyAlignment="1" applyProtection="1">
      <alignment horizontal="center" wrapText="1"/>
      <protection locked="0"/>
    </xf>
    <xf numFmtId="49" fontId="54" fillId="0" borderId="13" xfId="142" applyNumberFormat="1" applyFont="1" applyFill="1" applyBorder="1" applyAlignment="1" applyProtection="1">
      <alignment horizontal="left" vertical="center" wrapText="1"/>
      <protection locked="0"/>
    </xf>
    <xf numFmtId="49" fontId="54" fillId="0" borderId="0" xfId="142" applyNumberFormat="1" applyFont="1" applyFill="1" applyBorder="1" applyAlignment="1" applyProtection="1">
      <alignment horizontal="left" vertical="center" wrapText="1"/>
      <protection locked="0"/>
    </xf>
    <xf numFmtId="49" fontId="54" fillId="0" borderId="0" xfId="142" applyNumberFormat="1" applyFont="1" applyFill="1" applyBorder="1" applyAlignment="1" applyProtection="1">
      <alignment horizontal="center" vertical="center"/>
      <protection locked="0"/>
    </xf>
    <xf numFmtId="0" fontId="40" fillId="58" borderId="20" xfId="116" applyFont="1" applyFill="1" applyBorder="1" applyAlignment="1">
      <alignment horizontal="center"/>
    </xf>
    <xf numFmtId="0" fontId="28" fillId="0" borderId="0" xfId="249" applyNumberFormat="1" applyFont="1" applyFill="1" applyBorder="1" applyAlignment="1">
      <alignment horizontal="center" vertical="center"/>
    </xf>
    <xf numFmtId="49" fontId="28" fillId="0" borderId="0" xfId="249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distributed"/>
    </xf>
    <xf numFmtId="4" fontId="30" fillId="0" borderId="0" xfId="249" applyNumberFormat="1" applyFont="1" applyFill="1" applyBorder="1" applyAlignment="1">
      <alignment horizontal="right"/>
    </xf>
    <xf numFmtId="0" fontId="30" fillId="58" borderId="19" xfId="0" applyFont="1" applyFill="1" applyBorder="1" applyAlignment="1">
      <alignment vertical="distributed"/>
    </xf>
    <xf numFmtId="165" fontId="42" fillId="58" borderId="19" xfId="249" applyFont="1" applyFill="1" applyBorder="1" applyAlignment="1">
      <alignment horizontal="center"/>
    </xf>
    <xf numFmtId="4" fontId="42" fillId="58" borderId="19" xfId="249" applyNumberFormat="1" applyFont="1" applyFill="1" applyBorder="1" applyAlignment="1">
      <alignment horizontal="right"/>
    </xf>
    <xf numFmtId="0" fontId="52" fillId="0" borderId="0" xfId="116" applyFont="1" applyFill="1" applyBorder="1" applyAlignment="1">
      <alignment horizontal="center"/>
    </xf>
    <xf numFmtId="0" fontId="52" fillId="0" borderId="11" xfId="116" applyFont="1" applyFill="1" applyBorder="1" applyAlignment="1">
      <alignment horizontal="center"/>
    </xf>
    <xf numFmtId="0" fontId="86" fillId="0" borderId="0" xfId="116" applyFont="1" applyFill="1" applyBorder="1"/>
    <xf numFmtId="0" fontId="86" fillId="0" borderId="11" xfId="116" applyFont="1" applyFill="1" applyBorder="1"/>
    <xf numFmtId="0" fontId="86" fillId="0" borderId="0" xfId="116" applyFont="1" applyFill="1" applyBorder="1" applyAlignment="1">
      <alignment horizontal="center"/>
    </xf>
    <xf numFmtId="0" fontId="86" fillId="0" borderId="11" xfId="116" applyFont="1" applyFill="1" applyBorder="1" applyAlignment="1">
      <alignment horizontal="center"/>
    </xf>
    <xf numFmtId="39" fontId="4" fillId="0" borderId="0" xfId="95" applyNumberFormat="1" applyFont="1" applyFill="1" applyBorder="1" applyAlignment="1" applyProtection="1">
      <alignment wrapText="1"/>
      <protection locked="0"/>
    </xf>
    <xf numFmtId="4" fontId="31" fillId="0" borderId="0" xfId="116" applyNumberFormat="1" applyFont="1" applyFill="1" applyBorder="1" applyAlignment="1">
      <alignment horizontal="center" vertical="justify"/>
    </xf>
    <xf numFmtId="0" fontId="40" fillId="58" borderId="51" xfId="116" applyFont="1" applyFill="1" applyBorder="1" applyAlignment="1">
      <alignment horizontal="center"/>
    </xf>
    <xf numFmtId="165" fontId="84" fillId="0" borderId="51" xfId="249" applyFont="1" applyFill="1" applyBorder="1"/>
    <xf numFmtId="165" fontId="90" fillId="0" borderId="51" xfId="249" applyFont="1" applyFill="1" applyBorder="1" applyAlignment="1">
      <alignment horizontal="center" vertical="center"/>
    </xf>
    <xf numFmtId="165" fontId="6" fillId="0" borderId="51" xfId="249" applyFont="1" applyFill="1" applyBorder="1"/>
    <xf numFmtId="165" fontId="30" fillId="58" borderId="51" xfId="249" applyFont="1" applyFill="1" applyBorder="1" applyAlignment="1">
      <alignment horizontal="center" vertical="center"/>
    </xf>
    <xf numFmtId="165" fontId="30" fillId="58" borderId="51" xfId="116" applyNumberFormat="1" applyFont="1" applyFill="1" applyBorder="1"/>
    <xf numFmtId="9" fontId="87" fillId="0" borderId="20" xfId="116" applyNumberFormat="1" applyFont="1" applyFill="1" applyBorder="1"/>
    <xf numFmtId="177" fontId="6" fillId="0" borderId="20" xfId="249" applyNumberFormat="1" applyFont="1" applyFill="1" applyBorder="1"/>
    <xf numFmtId="167" fontId="55" fillId="0" borderId="0" xfId="116" applyNumberFormat="1" applyFont="1" applyFill="1" applyAlignment="1">
      <alignment horizontal="center"/>
    </xf>
    <xf numFmtId="49" fontId="29" fillId="0" borderId="0" xfId="142" applyNumberFormat="1" applyFont="1" applyFill="1" applyBorder="1" applyAlignment="1" applyProtection="1">
      <alignment horizontal="left" vertical="center" wrapText="1"/>
      <protection locked="0"/>
    </xf>
    <xf numFmtId="4" fontId="28" fillId="0" borderId="0" xfId="249" applyNumberFormat="1" applyFont="1" applyFill="1" applyBorder="1" applyAlignment="1">
      <alignment horizontal="right"/>
    </xf>
    <xf numFmtId="0" fontId="93" fillId="0" borderId="41" xfId="116" applyFont="1" applyFill="1" applyBorder="1" applyAlignment="1">
      <alignment horizontal="center" vertical="center"/>
    </xf>
    <xf numFmtId="0" fontId="30" fillId="0" borderId="32" xfId="116" applyFont="1" applyFill="1" applyBorder="1"/>
    <xf numFmtId="165" fontId="90" fillId="0" borderId="32" xfId="249" applyFont="1" applyFill="1" applyBorder="1" applyAlignment="1">
      <alignment horizontal="center" vertical="center"/>
    </xf>
    <xf numFmtId="4" fontId="90" fillId="0" borderId="32" xfId="249" applyNumberFormat="1" applyFont="1" applyFill="1" applyBorder="1" applyAlignment="1">
      <alignment horizontal="center"/>
    </xf>
    <xf numFmtId="165" fontId="90" fillId="0" borderId="32" xfId="249" applyFont="1" applyFill="1" applyBorder="1" applyAlignment="1">
      <alignment horizontal="right"/>
    </xf>
    <xf numFmtId="10" fontId="28" fillId="0" borderId="32" xfId="116" applyNumberFormat="1" applyFont="1" applyFill="1" applyBorder="1" applyAlignment="1">
      <alignment horizontal="center"/>
    </xf>
    <xf numFmtId="164" fontId="28" fillId="0" borderId="32" xfId="93" applyFont="1" applyFill="1" applyBorder="1"/>
    <xf numFmtId="164" fontId="28" fillId="0" borderId="70" xfId="93" applyFont="1" applyFill="1" applyBorder="1"/>
    <xf numFmtId="0" fontId="84" fillId="0" borderId="0" xfId="116" applyFont="1" applyFill="1" applyBorder="1" applyAlignment="1">
      <alignment horizontal="center" vertical="center"/>
    </xf>
    <xf numFmtId="0" fontId="87" fillId="0" borderId="0" xfId="116" applyFont="1" applyFill="1" applyBorder="1"/>
    <xf numFmtId="0" fontId="6" fillId="0" borderId="0" xfId="116" applyFont="1" applyFill="1" applyBorder="1" applyAlignment="1">
      <alignment horizontal="center" vertical="center"/>
    </xf>
    <xf numFmtId="0" fontId="95" fillId="61" borderId="20" xfId="167" applyFont="1" applyFill="1" applyBorder="1" applyAlignment="1">
      <alignment horizontal="center" vertical="center" wrapText="1"/>
    </xf>
    <xf numFmtId="0" fontId="98" fillId="61" borderId="20" xfId="167" applyFont="1" applyFill="1" applyBorder="1" applyAlignment="1">
      <alignment horizontal="left" vertical="center" wrapText="1"/>
    </xf>
    <xf numFmtId="165" fontId="95" fillId="61" borderId="20" xfId="249" applyFont="1" applyFill="1" applyBorder="1" applyAlignment="1">
      <alignment horizontal="center" vertical="center" wrapText="1"/>
    </xf>
    <xf numFmtId="165" fontId="95" fillId="61" borderId="20" xfId="249" applyFont="1" applyFill="1" applyBorder="1" applyAlignment="1">
      <alignment vertical="center" wrapText="1"/>
    </xf>
    <xf numFmtId="0" fontId="95" fillId="61" borderId="20" xfId="167" applyFont="1" applyFill="1" applyBorder="1" applyAlignment="1">
      <alignment horizontal="left" vertical="center" wrapText="1"/>
    </xf>
    <xf numFmtId="177" fontId="95" fillId="0" borderId="20" xfId="167" applyNumberFormat="1" applyFont="1" applyBorder="1" applyAlignment="1">
      <alignment horizontal="center" vertical="center" wrapText="1"/>
    </xf>
    <xf numFmtId="43" fontId="95" fillId="0" borderId="20" xfId="309" applyFont="1" applyFill="1" applyBorder="1" applyAlignment="1">
      <alignment vertical="center" wrapText="1"/>
    </xf>
    <xf numFmtId="43" fontId="95" fillId="0" borderId="20" xfId="309" applyFont="1" applyBorder="1" applyAlignment="1">
      <alignment vertical="center" wrapText="1"/>
    </xf>
    <xf numFmtId="177" fontId="96" fillId="0" borderId="22" xfId="309" applyNumberFormat="1" applyFont="1" applyBorder="1" applyAlignment="1">
      <alignment horizontal="center" vertical="center" wrapText="1"/>
    </xf>
    <xf numFmtId="177" fontId="95" fillId="0" borderId="20" xfId="309" applyNumberFormat="1" applyFont="1" applyBorder="1" applyAlignment="1">
      <alignment horizontal="center" vertical="center" wrapText="1"/>
    </xf>
    <xf numFmtId="177" fontId="95" fillId="0" borderId="20" xfId="309" applyNumberFormat="1" applyFont="1" applyFill="1" applyBorder="1" applyAlignment="1">
      <alignment horizontal="center" vertical="center" wrapText="1"/>
    </xf>
    <xf numFmtId="177" fontId="95" fillId="0" borderId="0" xfId="309" applyNumberFormat="1" applyFont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0" fontId="100" fillId="0" borderId="0" xfId="0" applyFont="1" applyAlignment="1">
      <alignment horizontal="center" vertical="center"/>
    </xf>
    <xf numFmtId="0" fontId="101" fillId="62" borderId="20" xfId="0" applyFont="1" applyFill="1" applyBorder="1" applyAlignment="1">
      <alignment horizontal="center" vertical="center"/>
    </xf>
    <xf numFmtId="178" fontId="95" fillId="0" borderId="20" xfId="309" applyNumberFormat="1" applyFont="1" applyBorder="1" applyAlignment="1">
      <alignment horizontal="center" vertical="center" wrapText="1"/>
    </xf>
    <xf numFmtId="4" fontId="28" fillId="0" borderId="0" xfId="249" applyNumberFormat="1" applyFont="1" applyFill="1" applyBorder="1" applyAlignment="1">
      <alignment horizontal="right"/>
    </xf>
    <xf numFmtId="43" fontId="95" fillId="0" borderId="0" xfId="309" applyNumberFormat="1" applyFont="1" applyBorder="1" applyAlignment="1">
      <alignment horizontal="center" vertical="center" wrapText="1"/>
    </xf>
    <xf numFmtId="10" fontId="28" fillId="0" borderId="0" xfId="178" applyNumberFormat="1" applyFont="1" applyFill="1" applyBorder="1" applyAlignment="1">
      <alignment horizontal="right"/>
    </xf>
    <xf numFmtId="4" fontId="57" fillId="0" borderId="0" xfId="0" applyNumberFormat="1" applyFont="1"/>
    <xf numFmtId="0" fontId="30" fillId="0" borderId="0" xfId="0" applyFont="1" applyFill="1" applyBorder="1" applyAlignment="1">
      <alignment vertical="center"/>
    </xf>
    <xf numFmtId="4" fontId="28" fillId="0" borderId="0" xfId="120" applyNumberFormat="1" applyFont="1" applyAlignment="1">
      <alignment vertical="center"/>
    </xf>
    <xf numFmtId="10" fontId="28" fillId="0" borderId="0" xfId="178" applyNumberFormat="1" applyFont="1" applyBorder="1" applyAlignment="1">
      <alignment vertical="center"/>
    </xf>
    <xf numFmtId="10" fontId="28" fillId="0" borderId="0" xfId="178" applyNumberFormat="1" applyFont="1" applyAlignment="1">
      <alignment vertical="center"/>
    </xf>
    <xf numFmtId="0" fontId="30" fillId="58" borderId="13" xfId="249" applyNumberFormat="1" applyFont="1" applyFill="1" applyBorder="1" applyAlignment="1">
      <alignment horizontal="center" vertical="center"/>
    </xf>
    <xf numFmtId="49" fontId="6" fillId="58" borderId="0" xfId="249" applyNumberFormat="1" applyFont="1" applyFill="1" applyBorder="1" applyAlignment="1">
      <alignment horizontal="center" vertical="center"/>
    </xf>
    <xf numFmtId="0" fontId="30" fillId="58" borderId="0" xfId="0" applyFont="1" applyFill="1" applyBorder="1" applyAlignment="1">
      <alignment horizontal="center" vertical="distributed" wrapText="1"/>
    </xf>
    <xf numFmtId="165" fontId="30" fillId="58" borderId="0" xfId="249" applyFont="1" applyFill="1" applyBorder="1" applyAlignment="1">
      <alignment horizontal="center"/>
    </xf>
    <xf numFmtId="4" fontId="90" fillId="58" borderId="0" xfId="249" applyNumberFormat="1" applyFont="1" applyFill="1" applyBorder="1" applyAlignment="1">
      <alignment horizontal="right" wrapText="1"/>
    </xf>
    <xf numFmtId="4" fontId="90" fillId="58" borderId="0" xfId="187" applyNumberFormat="1" applyFont="1" applyFill="1" applyBorder="1" applyAlignment="1">
      <alignment horizontal="right"/>
    </xf>
    <xf numFmtId="164" fontId="30" fillId="58" borderId="11" xfId="93" applyFont="1" applyFill="1" applyBorder="1" applyAlignment="1">
      <alignment horizontal="right"/>
    </xf>
    <xf numFmtId="49" fontId="40" fillId="58" borderId="19" xfId="249" applyNumberFormat="1" applyFont="1" applyFill="1" applyBorder="1" applyAlignment="1">
      <alignment horizontal="left" vertical="center"/>
    </xf>
    <xf numFmtId="0" fontId="95" fillId="0" borderId="20" xfId="167" applyFont="1" applyFill="1" applyBorder="1" applyAlignment="1">
      <alignment vertical="center" wrapText="1"/>
    </xf>
    <xf numFmtId="165" fontId="95" fillId="0" borderId="20" xfId="167" applyNumberFormat="1" applyFont="1" applyFill="1" applyBorder="1" applyAlignment="1">
      <alignment vertical="center" wrapText="1"/>
    </xf>
    <xf numFmtId="178" fontId="95" fillId="0" borderId="20" xfId="309" applyNumberFormat="1" applyFont="1" applyBorder="1" applyAlignment="1">
      <alignment vertical="center" wrapText="1"/>
    </xf>
    <xf numFmtId="0" fontId="95" fillId="0" borderId="32" xfId="167" applyFont="1" applyBorder="1" applyAlignment="1">
      <alignment horizontal="center" vertical="center" wrapText="1"/>
    </xf>
    <xf numFmtId="43" fontId="96" fillId="0" borderId="72" xfId="309" applyNumberFormat="1" applyFont="1" applyBorder="1" applyAlignment="1">
      <alignment horizontal="center" vertical="center" wrapText="1"/>
    </xf>
    <xf numFmtId="174" fontId="95" fillId="0" borderId="20" xfId="309" applyNumberFormat="1" applyFont="1" applyBorder="1" applyAlignment="1">
      <alignment vertical="center" wrapText="1"/>
    </xf>
    <xf numFmtId="4" fontId="28" fillId="0" borderId="0" xfId="249" applyNumberFormat="1" applyFont="1" applyFill="1" applyBorder="1" applyAlignment="1">
      <alignment horizontal="right"/>
    </xf>
    <xf numFmtId="49" fontId="29" fillId="0" borderId="13" xfId="142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142" applyNumberFormat="1" applyFont="1" applyFill="1" applyBorder="1" applyAlignment="1" applyProtection="1">
      <alignment horizontal="left" vertical="center" wrapText="1"/>
      <protection locked="0"/>
    </xf>
    <xf numFmtId="0" fontId="59" fillId="0" borderId="28" xfId="161" applyFont="1" applyFill="1" applyBorder="1" applyAlignment="1">
      <alignment horizontal="center" vertical="center"/>
    </xf>
    <xf numFmtId="0" fontId="59" fillId="0" borderId="39" xfId="161" applyFont="1" applyFill="1" applyBorder="1" applyAlignment="1">
      <alignment horizontal="center" vertical="center"/>
    </xf>
    <xf numFmtId="0" fontId="2" fillId="0" borderId="0" xfId="161" applyFont="1" applyBorder="1" applyAlignment="1">
      <alignment vertical="center"/>
    </xf>
    <xf numFmtId="0" fontId="2" fillId="0" borderId="0" xfId="161" applyFont="1" applyBorder="1" applyAlignment="1">
      <alignment horizontal="center" vertical="center"/>
    </xf>
    <xf numFmtId="0" fontId="2" fillId="0" borderId="41" xfId="161" applyFont="1" applyBorder="1" applyAlignment="1">
      <alignment horizontal="center" vertical="center"/>
    </xf>
    <xf numFmtId="10" fontId="2" fillId="60" borderId="42" xfId="323" applyNumberFormat="1" applyFont="1" applyFill="1" applyBorder="1" applyAlignment="1" applyProtection="1">
      <alignment horizontal="center" vertical="center"/>
      <protection locked="0"/>
    </xf>
    <xf numFmtId="10" fontId="2" fillId="0" borderId="0" xfId="323" applyNumberFormat="1" applyFont="1" applyBorder="1" applyAlignment="1">
      <alignment horizontal="center" vertical="center"/>
    </xf>
    <xf numFmtId="0" fontId="2" fillId="0" borderId="13" xfId="161" applyFont="1" applyFill="1" applyBorder="1" applyAlignment="1">
      <alignment horizontal="center" vertical="center"/>
    </xf>
    <xf numFmtId="0" fontId="2" fillId="0" borderId="0" xfId="161" applyFont="1" applyFill="1" applyBorder="1" applyAlignment="1">
      <alignment horizontal="center" vertical="center"/>
    </xf>
    <xf numFmtId="165" fontId="102" fillId="0" borderId="32" xfId="249" applyFont="1" applyFill="1" applyBorder="1" applyAlignment="1">
      <alignment horizontal="center"/>
    </xf>
    <xf numFmtId="0" fontId="28" fillId="0" borderId="20" xfId="120" applyFont="1" applyFill="1" applyBorder="1" applyAlignment="1">
      <alignment horizontal="center" vertical="center"/>
    </xf>
    <xf numFmtId="165" fontId="42" fillId="0" borderId="32" xfId="249" applyFont="1" applyFill="1" applyBorder="1" applyAlignment="1">
      <alignment horizontal="center" vertical="center"/>
    </xf>
    <xf numFmtId="4" fontId="42" fillId="0" borderId="20" xfId="249" applyNumberFormat="1" applyFont="1" applyFill="1" applyBorder="1" applyAlignment="1">
      <alignment horizontal="center" vertical="center"/>
    </xf>
    <xf numFmtId="165" fontId="42" fillId="0" borderId="32" xfId="249" applyFont="1" applyFill="1" applyBorder="1" applyAlignment="1">
      <alignment vertical="center"/>
    </xf>
    <xf numFmtId="4" fontId="42" fillId="0" borderId="20" xfId="249" applyNumberFormat="1" applyFont="1" applyFill="1" applyBorder="1" applyAlignment="1">
      <alignment vertical="center"/>
    </xf>
    <xf numFmtId="49" fontId="103" fillId="58" borderId="19" xfId="249" applyNumberFormat="1" applyFont="1" applyFill="1" applyBorder="1" applyAlignment="1">
      <alignment horizontal="center" vertical="center"/>
    </xf>
    <xf numFmtId="165" fontId="42" fillId="0" borderId="22" xfId="249" applyFont="1" applyFill="1" applyBorder="1" applyAlignment="1">
      <alignment horizontal="center"/>
    </xf>
    <xf numFmtId="0" fontId="28" fillId="0" borderId="73" xfId="249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28" fillId="0" borderId="0" xfId="249" applyFont="1" applyFill="1" applyBorder="1" applyAlignment="1">
      <alignment horizontal="center" vertical="center"/>
    </xf>
    <xf numFmtId="4" fontId="28" fillId="0" borderId="0" xfId="249" applyNumberFormat="1" applyFont="1" applyFill="1" applyBorder="1" applyAlignment="1">
      <alignment horizontal="center" vertical="center"/>
    </xf>
    <xf numFmtId="0" fontId="42" fillId="0" borderId="20" xfId="249" applyNumberFormat="1" applyFont="1" applyFill="1" applyBorder="1" applyAlignment="1">
      <alignment horizontal="center" vertical="center"/>
    </xf>
    <xf numFmtId="0" fontId="28" fillId="0" borderId="20" xfId="120" applyFont="1" applyFill="1" applyBorder="1" applyAlignment="1">
      <alignment horizontal="center" vertical="distributed"/>
    </xf>
    <xf numFmtId="0" fontId="28" fillId="0" borderId="20" xfId="120" applyFont="1" applyFill="1" applyBorder="1" applyAlignment="1">
      <alignment vertical="distributed"/>
    </xf>
    <xf numFmtId="165" fontId="42" fillId="0" borderId="20" xfId="249" applyFont="1" applyFill="1" applyBorder="1" applyAlignment="1">
      <alignment horizontal="center" vertical="center"/>
    </xf>
    <xf numFmtId="0" fontId="28" fillId="0" borderId="20" xfId="120" applyFont="1" applyFill="1" applyBorder="1" applyAlignment="1">
      <alignment vertical="distributed" wrapText="1"/>
    </xf>
    <xf numFmtId="0" fontId="42" fillId="0" borderId="20" xfId="0" applyFont="1" applyFill="1" applyBorder="1" applyAlignment="1">
      <alignment vertical="distributed" wrapText="1"/>
    </xf>
    <xf numFmtId="0" fontId="28" fillId="0" borderId="35" xfId="249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vertical="distributed" wrapText="1"/>
    </xf>
    <xf numFmtId="165" fontId="42" fillId="0" borderId="20" xfId="249" applyFont="1" applyFill="1" applyBorder="1" applyAlignment="1">
      <alignment horizontal="center"/>
    </xf>
    <xf numFmtId="0" fontId="42" fillId="0" borderId="20" xfId="0" applyFont="1" applyFill="1" applyBorder="1" applyAlignment="1">
      <alignment vertical="distributed"/>
    </xf>
    <xf numFmtId="44" fontId="42" fillId="0" borderId="20" xfId="249" applyNumberFormat="1" applyFont="1" applyFill="1" applyBorder="1" applyAlignment="1">
      <alignment horizontal="center" vertical="center"/>
    </xf>
    <xf numFmtId="44" fontId="30" fillId="58" borderId="21" xfId="93" applyNumberFormat="1" applyFont="1" applyFill="1" applyBorder="1" applyAlignment="1">
      <alignment horizontal="right"/>
    </xf>
    <xf numFmtId="44" fontId="42" fillId="0" borderId="20" xfId="249" applyNumberFormat="1" applyFont="1" applyFill="1" applyBorder="1" applyAlignment="1">
      <alignment horizontal="right"/>
    </xf>
    <xf numFmtId="44" fontId="42" fillId="0" borderId="23" xfId="249" applyNumberFormat="1" applyFont="1" applyFill="1" applyBorder="1" applyAlignment="1">
      <alignment horizontal="right"/>
    </xf>
    <xf numFmtId="44" fontId="30" fillId="58" borderId="25" xfId="93" applyNumberFormat="1" applyFont="1" applyFill="1" applyBorder="1" applyAlignment="1">
      <alignment horizontal="right"/>
    </xf>
    <xf numFmtId="0" fontId="28" fillId="0" borderId="32" xfId="0" applyFont="1" applyFill="1" applyBorder="1" applyAlignment="1">
      <alignment vertical="center" wrapText="1"/>
    </xf>
    <xf numFmtId="44" fontId="28" fillId="0" borderId="23" xfId="249" applyNumberFormat="1" applyFont="1" applyFill="1" applyBorder="1" applyAlignment="1">
      <alignment horizontal="right" vertical="center"/>
    </xf>
    <xf numFmtId="0" fontId="42" fillId="0" borderId="20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vertical="distributed" wrapText="1"/>
    </xf>
    <xf numFmtId="0" fontId="28" fillId="0" borderId="32" xfId="0" applyFont="1" applyFill="1" applyBorder="1" applyAlignment="1">
      <alignment vertical="distributed"/>
    </xf>
    <xf numFmtId="4" fontId="28" fillId="0" borderId="23" xfId="249" applyNumberFormat="1" applyFont="1" applyFill="1" applyBorder="1" applyAlignment="1">
      <alignment vertical="center"/>
    </xf>
    <xf numFmtId="0" fontId="102" fillId="0" borderId="32" xfId="0" applyFont="1" applyFill="1" applyBorder="1" applyAlignment="1">
      <alignment vertical="distributed" wrapText="1"/>
    </xf>
    <xf numFmtId="164" fontId="30" fillId="63" borderId="25" xfId="93" applyFont="1" applyFill="1" applyBorder="1" applyAlignment="1">
      <alignment horizontal="right" vertical="center"/>
    </xf>
    <xf numFmtId="9" fontId="84" fillId="0" borderId="0" xfId="178" applyFont="1" applyAlignment="1">
      <alignment horizontal="center" vertical="center"/>
    </xf>
    <xf numFmtId="0" fontId="42" fillId="0" borderId="32" xfId="0" applyFont="1" applyBorder="1" applyAlignment="1">
      <alignment vertical="center" wrapText="1"/>
    </xf>
    <xf numFmtId="4" fontId="42" fillId="0" borderId="20" xfId="249" applyNumberFormat="1" applyFont="1" applyFill="1" applyBorder="1" applyAlignment="1">
      <alignment horizontal="right" vertical="center"/>
    </xf>
    <xf numFmtId="44" fontId="84" fillId="0" borderId="0" xfId="249" applyNumberFormat="1" applyFont="1" applyAlignment="1"/>
    <xf numFmtId="4" fontId="102" fillId="0" borderId="20" xfId="249" applyNumberFormat="1" applyFont="1" applyFill="1" applyBorder="1" applyAlignment="1">
      <alignment horizontal="center" vertical="center"/>
    </xf>
    <xf numFmtId="0" fontId="30" fillId="0" borderId="0" xfId="249" applyNumberFormat="1" applyFont="1" applyFill="1" applyBorder="1" applyAlignment="1">
      <alignment horizontal="right" vertical="center"/>
    </xf>
    <xf numFmtId="0" fontId="30" fillId="63" borderId="20" xfId="249" applyNumberFormat="1" applyFont="1" applyFill="1" applyBorder="1" applyAlignment="1">
      <alignment horizontal="right" vertical="center"/>
    </xf>
    <xf numFmtId="0" fontId="46" fillId="0" borderId="40" xfId="161" applyFont="1" applyBorder="1" applyAlignment="1">
      <alignment horizontal="center" vertical="center"/>
    </xf>
    <xf numFmtId="0" fontId="46" fillId="0" borderId="15" xfId="161" applyFont="1" applyBorder="1" applyAlignment="1">
      <alignment horizontal="center" vertical="center"/>
    </xf>
    <xf numFmtId="0" fontId="48" fillId="0" borderId="13" xfId="161" applyFont="1" applyBorder="1" applyAlignment="1">
      <alignment horizontal="center"/>
    </xf>
    <xf numFmtId="0" fontId="48" fillId="0" borderId="0" xfId="161" applyFont="1" applyAlignment="1">
      <alignment horizontal="center"/>
    </xf>
    <xf numFmtId="49" fontId="30" fillId="0" borderId="13" xfId="145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145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203" applyNumberFormat="1" applyFont="1" applyFill="1" applyBorder="1" applyAlignment="1" applyProtection="1">
      <alignment horizontal="left" vertical="center"/>
      <protection locked="0"/>
    </xf>
    <xf numFmtId="0" fontId="4" fillId="0" borderId="10" xfId="203" applyNumberFormat="1" applyFont="1" applyFill="1" applyBorder="1" applyAlignment="1" applyProtection="1">
      <alignment horizontal="left" vertical="center"/>
      <protection locked="0"/>
    </xf>
    <xf numFmtId="39" fontId="4" fillId="0" borderId="10" xfId="95" applyNumberFormat="1" applyFont="1" applyFill="1" applyBorder="1" applyAlignment="1" applyProtection="1">
      <alignment horizontal="center" wrapText="1"/>
      <protection locked="0"/>
    </xf>
    <xf numFmtId="0" fontId="30" fillId="58" borderId="36" xfId="120" applyFont="1" applyFill="1" applyBorder="1" applyAlignment="1" applyProtection="1">
      <alignment horizontal="center" vertical="center"/>
      <protection locked="0"/>
    </xf>
    <xf numFmtId="0" fontId="30" fillId="58" borderId="16" xfId="120" applyFont="1" applyFill="1" applyBorder="1" applyAlignment="1" applyProtection="1">
      <alignment horizontal="center" vertical="center"/>
      <protection locked="0"/>
    </xf>
    <xf numFmtId="0" fontId="30" fillId="58" borderId="17" xfId="120" applyFont="1" applyFill="1" applyBorder="1" applyAlignment="1" applyProtection="1">
      <alignment horizontal="center" vertical="center"/>
      <protection locked="0"/>
    </xf>
    <xf numFmtId="0" fontId="30" fillId="0" borderId="13" xfId="203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3" applyNumberFormat="1" applyFont="1" applyFill="1" applyBorder="1" applyAlignment="1" applyProtection="1">
      <alignment horizontal="left" vertical="center"/>
      <protection locked="0"/>
    </xf>
    <xf numFmtId="49" fontId="29" fillId="0" borderId="0" xfId="142" applyNumberFormat="1" applyFont="1" applyFill="1" applyBorder="1" applyAlignment="1" applyProtection="1">
      <alignment horizontal="left" wrapText="1"/>
      <protection locked="0"/>
    </xf>
    <xf numFmtId="49" fontId="4" fillId="0" borderId="0" xfId="142" applyNumberFormat="1" applyFont="1" applyFill="1" applyBorder="1" applyAlignment="1" applyProtection="1">
      <alignment horizontal="center" vertical="center" wrapText="1"/>
      <protection locked="0"/>
    </xf>
    <xf numFmtId="49" fontId="29" fillId="0" borderId="13" xfId="142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142" applyNumberFormat="1" applyFont="1" applyFill="1" applyBorder="1" applyAlignment="1" applyProtection="1">
      <alignment horizontal="left" vertical="center" wrapText="1"/>
      <protection locked="0"/>
    </xf>
    <xf numFmtId="49" fontId="95" fillId="0" borderId="13" xfId="142" applyNumberFormat="1" applyFont="1" applyBorder="1" applyAlignment="1" applyProtection="1">
      <alignment horizontal="left" vertical="center" wrapText="1"/>
      <protection locked="0"/>
    </xf>
    <xf numFmtId="49" fontId="95" fillId="0" borderId="0" xfId="142" applyNumberFormat="1" applyFont="1" applyAlignment="1" applyProtection="1">
      <alignment horizontal="left" vertical="center" wrapText="1"/>
      <protection locked="0"/>
    </xf>
    <xf numFmtId="0" fontId="95" fillId="0" borderId="0" xfId="161" applyFont="1" applyAlignment="1">
      <alignment horizontal="center"/>
    </xf>
    <xf numFmtId="0" fontId="95" fillId="0" borderId="11" xfId="161" applyFont="1" applyBorder="1" applyAlignment="1">
      <alignment horizontal="center"/>
    </xf>
    <xf numFmtId="0" fontId="96" fillId="0" borderId="43" xfId="203" applyNumberFormat="1" applyFont="1" applyBorder="1" applyAlignment="1" applyProtection="1">
      <alignment horizontal="left" vertical="center"/>
      <protection locked="0"/>
    </xf>
    <xf numFmtId="0" fontId="96" fillId="0" borderId="37" xfId="203" applyNumberFormat="1" applyFont="1" applyBorder="1" applyAlignment="1" applyProtection="1">
      <alignment horizontal="left" vertical="center"/>
      <protection locked="0"/>
    </xf>
    <xf numFmtId="39" fontId="96" fillId="0" borderId="37" xfId="161" applyNumberFormat="1" applyFont="1" applyBorder="1" applyAlignment="1">
      <alignment horizontal="center"/>
    </xf>
    <xf numFmtId="22" fontId="95" fillId="0" borderId="37" xfId="161" applyNumberFormat="1" applyFont="1" applyBorder="1" applyAlignment="1">
      <alignment horizontal="center"/>
    </xf>
    <xf numFmtId="22" fontId="95" fillId="0" borderId="38" xfId="161" applyNumberFormat="1" applyFont="1" applyBorder="1" applyAlignment="1">
      <alignment horizontal="center"/>
    </xf>
    <xf numFmtId="0" fontId="96" fillId="0" borderId="40" xfId="161" applyFont="1" applyBorder="1" applyAlignment="1">
      <alignment horizontal="center" vertical="center"/>
    </xf>
    <xf numFmtId="0" fontId="96" fillId="0" borderId="15" xfId="161" applyFont="1" applyBorder="1" applyAlignment="1">
      <alignment horizontal="center" vertical="center"/>
    </xf>
    <xf numFmtId="0" fontId="96" fillId="0" borderId="13" xfId="161" applyFont="1" applyBorder="1" applyAlignment="1">
      <alignment horizontal="center"/>
    </xf>
    <xf numFmtId="0" fontId="96" fillId="0" borderId="0" xfId="161" applyFont="1" applyAlignment="1">
      <alignment horizontal="center"/>
    </xf>
    <xf numFmtId="0" fontId="96" fillId="0" borderId="13" xfId="203" applyNumberFormat="1" applyFont="1" applyBorder="1" applyAlignment="1" applyProtection="1">
      <alignment horizontal="left" vertical="center" wrapText="1"/>
      <protection locked="0"/>
    </xf>
    <xf numFmtId="0" fontId="96" fillId="0" borderId="0" xfId="203" applyNumberFormat="1" applyFont="1" applyAlignment="1" applyProtection="1">
      <alignment horizontal="left" vertical="center" wrapText="1"/>
      <protection locked="0"/>
    </xf>
    <xf numFmtId="49" fontId="96" fillId="0" borderId="0" xfId="142" applyNumberFormat="1" applyFont="1" applyFill="1" applyBorder="1" applyAlignment="1" applyProtection="1">
      <alignment horizontal="center" vertical="center" wrapText="1"/>
      <protection locked="0"/>
    </xf>
    <xf numFmtId="0" fontId="101" fillId="62" borderId="51" xfId="0" applyFont="1" applyFill="1" applyBorder="1" applyAlignment="1">
      <alignment horizontal="center" vertical="center" wrapText="1"/>
    </xf>
    <xf numFmtId="0" fontId="101" fillId="62" borderId="52" xfId="0" applyFont="1" applyFill="1" applyBorder="1" applyAlignment="1">
      <alignment horizontal="center" vertical="center" wrapText="1"/>
    </xf>
    <xf numFmtId="0" fontId="101" fillId="62" borderId="24" xfId="0" applyFont="1" applyFill="1" applyBorder="1" applyAlignment="1">
      <alignment horizontal="center" vertical="center" wrapText="1"/>
    </xf>
    <xf numFmtId="0" fontId="96" fillId="0" borderId="0" xfId="0" applyFont="1" applyAlignment="1">
      <alignment horizontal="center" vertical="center"/>
    </xf>
    <xf numFmtId="0" fontId="48" fillId="0" borderId="0" xfId="161" applyFont="1" applyBorder="1" applyAlignment="1">
      <alignment horizontal="center"/>
    </xf>
    <xf numFmtId="0" fontId="48" fillId="0" borderId="71" xfId="161" applyFont="1" applyBorder="1" applyAlignment="1">
      <alignment horizontal="center"/>
    </xf>
    <xf numFmtId="0" fontId="40" fillId="58" borderId="20" xfId="116" applyFont="1" applyFill="1" applyBorder="1" applyAlignment="1">
      <alignment horizontal="center"/>
    </xf>
    <xf numFmtId="0" fontId="40" fillId="58" borderId="51" xfId="116" applyFont="1" applyFill="1" applyBorder="1" applyAlignment="1">
      <alignment horizontal="center"/>
    </xf>
    <xf numFmtId="0" fontId="40" fillId="58" borderId="27" xfId="116" applyFont="1" applyFill="1" applyBorder="1" applyAlignment="1">
      <alignment horizontal="center" vertical="center"/>
    </xf>
    <xf numFmtId="0" fontId="40" fillId="58" borderId="20" xfId="168" applyFont="1" applyFill="1" applyBorder="1" applyAlignment="1">
      <alignment horizontal="center" vertical="center" wrapText="1"/>
    </xf>
    <xf numFmtId="4" fontId="40" fillId="58" borderId="20" xfId="249" applyNumberFormat="1" applyFont="1" applyFill="1" applyBorder="1" applyAlignment="1">
      <alignment horizontal="center" vertical="center" wrapText="1"/>
    </xf>
    <xf numFmtId="0" fontId="46" fillId="0" borderId="13" xfId="161" applyFont="1" applyBorder="1" applyAlignment="1">
      <alignment horizontal="center" vertical="center"/>
    </xf>
    <xf numFmtId="0" fontId="46" fillId="0" borderId="0" xfId="161" applyFont="1" applyBorder="1" applyAlignment="1">
      <alignment horizontal="center" vertical="center"/>
    </xf>
    <xf numFmtId="49" fontId="53" fillId="0" borderId="13" xfId="145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145" applyNumberFormat="1" applyFont="1" applyFill="1" applyBorder="1" applyAlignment="1" applyProtection="1">
      <alignment horizontal="center" vertical="center" wrapText="1"/>
      <protection locked="0"/>
    </xf>
    <xf numFmtId="172" fontId="31" fillId="0" borderId="10" xfId="95" applyNumberFormat="1" applyFont="1" applyFill="1" applyBorder="1" applyAlignment="1" applyProtection="1">
      <alignment horizontal="center" wrapText="1"/>
      <protection locked="0"/>
    </xf>
    <xf numFmtId="49" fontId="54" fillId="0" borderId="0" xfId="142" applyNumberFormat="1" applyFont="1" applyFill="1" applyBorder="1" applyAlignment="1" applyProtection="1">
      <alignment horizontal="center" vertical="center"/>
      <protection locked="0"/>
    </xf>
    <xf numFmtId="164" fontId="51" fillId="0" borderId="13" xfId="95" applyFont="1" applyFill="1" applyBorder="1" applyAlignment="1" applyProtection="1">
      <alignment horizontal="center" vertical="center" wrapText="1"/>
      <protection locked="0"/>
    </xf>
    <xf numFmtId="164" fontId="51" fillId="0" borderId="0" xfId="95" applyFont="1" applyFill="1" applyBorder="1" applyAlignment="1" applyProtection="1">
      <alignment horizontal="center" vertical="center" wrapText="1"/>
      <protection locked="0"/>
    </xf>
    <xf numFmtId="164" fontId="51" fillId="0" borderId="71" xfId="95" applyFont="1" applyFill="1" applyBorder="1" applyAlignment="1" applyProtection="1">
      <alignment horizontal="center" vertical="center" wrapText="1"/>
      <protection locked="0"/>
    </xf>
    <xf numFmtId="49" fontId="31" fillId="0" borderId="0" xfId="142" applyNumberFormat="1" applyFont="1" applyFill="1" applyBorder="1" applyAlignment="1" applyProtection="1">
      <alignment horizontal="center" wrapText="1"/>
      <protection locked="0"/>
    </xf>
    <xf numFmtId="49" fontId="54" fillId="0" borderId="13" xfId="142" applyNumberFormat="1" applyFont="1" applyFill="1" applyBorder="1" applyAlignment="1" applyProtection="1">
      <alignment horizontal="left" vertical="center"/>
      <protection locked="0"/>
    </xf>
    <xf numFmtId="49" fontId="54" fillId="0" borderId="0" xfId="142" applyNumberFormat="1" applyFont="1" applyFill="1" applyBorder="1" applyAlignment="1" applyProtection="1">
      <alignment horizontal="left" vertical="center"/>
      <protection locked="0"/>
    </xf>
    <xf numFmtId="0" fontId="31" fillId="0" borderId="13" xfId="203" applyNumberFormat="1" applyFont="1" applyFill="1" applyBorder="1" applyAlignment="1" applyProtection="1">
      <alignment horizontal="left" vertical="distributed"/>
      <protection locked="0"/>
    </xf>
    <xf numFmtId="0" fontId="31" fillId="0" borderId="0" xfId="203" applyNumberFormat="1" applyFont="1" applyFill="1" applyBorder="1" applyAlignment="1" applyProtection="1">
      <alignment horizontal="left" vertical="distributed"/>
      <protection locked="0"/>
    </xf>
    <xf numFmtId="49" fontId="54" fillId="0" borderId="13" xfId="142" applyNumberFormat="1" applyFont="1" applyFill="1" applyBorder="1" applyAlignment="1" applyProtection="1">
      <alignment horizontal="left" vertical="center" wrapText="1"/>
      <protection locked="0"/>
    </xf>
    <xf numFmtId="49" fontId="54" fillId="0" borderId="0" xfId="142" applyNumberFormat="1" applyFont="1" applyFill="1" applyBorder="1" applyAlignment="1" applyProtection="1">
      <alignment horizontal="left" vertical="center" wrapText="1"/>
      <protection locked="0"/>
    </xf>
    <xf numFmtId="10" fontId="54" fillId="0" borderId="0" xfId="178" applyNumberFormat="1" applyFont="1" applyBorder="1" applyAlignment="1">
      <alignment horizontal="center"/>
    </xf>
    <xf numFmtId="172" fontId="31" fillId="0" borderId="0" xfId="95" applyNumberFormat="1" applyFont="1" applyFill="1" applyBorder="1" applyAlignment="1" applyProtection="1">
      <alignment horizontal="center" wrapText="1"/>
      <protection locked="0"/>
    </xf>
    <xf numFmtId="4" fontId="31" fillId="0" borderId="0" xfId="178" applyNumberFormat="1" applyFont="1" applyBorder="1" applyAlignment="1">
      <alignment horizontal="center" vertical="justify"/>
    </xf>
    <xf numFmtId="49" fontId="53" fillId="0" borderId="0" xfId="145" applyNumberFormat="1" applyFont="1" applyFill="1" applyBorder="1" applyAlignment="1" applyProtection="1">
      <alignment horizontal="center" vertical="center" wrapText="1"/>
      <protection locked="0"/>
    </xf>
    <xf numFmtId="22" fontId="31" fillId="0" borderId="0" xfId="142" applyNumberFormat="1" applyFont="1" applyFill="1" applyBorder="1" applyAlignment="1" applyProtection="1">
      <alignment horizontal="center" vertical="distributed" wrapText="1"/>
      <protection locked="0"/>
    </xf>
    <xf numFmtId="0" fontId="31" fillId="0" borderId="0" xfId="142" applyNumberFormat="1" applyFont="1" applyFill="1" applyBorder="1" applyAlignment="1" applyProtection="1">
      <alignment horizontal="center" vertical="distributed" wrapText="1"/>
      <protection locked="0"/>
    </xf>
    <xf numFmtId="0" fontId="45" fillId="0" borderId="68" xfId="168" applyFont="1" applyFill="1" applyBorder="1" applyAlignment="1">
      <alignment horizontal="center" vertical="center"/>
    </xf>
    <xf numFmtId="0" fontId="45" fillId="0" borderId="69" xfId="168" applyFont="1" applyFill="1" applyBorder="1" applyAlignment="1">
      <alignment horizontal="center" vertical="center"/>
    </xf>
    <xf numFmtId="0" fontId="45" fillId="0" borderId="0" xfId="168" applyFont="1" applyFill="1" applyBorder="1" applyAlignment="1">
      <alignment horizontal="center" vertical="center"/>
    </xf>
    <xf numFmtId="0" fontId="45" fillId="0" borderId="11" xfId="168" applyFont="1" applyFill="1" applyBorder="1" applyAlignment="1">
      <alignment horizontal="center" vertical="center"/>
    </xf>
    <xf numFmtId="165" fontId="40" fillId="58" borderId="20" xfId="249" applyFont="1" applyFill="1" applyBorder="1" applyAlignment="1">
      <alignment horizontal="center" vertical="center" wrapText="1"/>
    </xf>
    <xf numFmtId="165" fontId="5" fillId="58" borderId="20" xfId="249" applyFont="1" applyFill="1" applyBorder="1" applyAlignment="1">
      <alignment horizontal="center" vertical="center" wrapText="1"/>
    </xf>
    <xf numFmtId="0" fontId="45" fillId="0" borderId="13" xfId="161" applyFont="1" applyBorder="1" applyAlignment="1">
      <alignment horizontal="center"/>
    </xf>
    <xf numFmtId="0" fontId="45" fillId="0" borderId="0" xfId="161" applyFont="1" applyBorder="1" applyAlignment="1">
      <alignment horizontal="center"/>
    </xf>
    <xf numFmtId="0" fontId="56" fillId="0" borderId="43" xfId="203" applyNumberFormat="1" applyFont="1" applyFill="1" applyBorder="1" applyAlignment="1" applyProtection="1">
      <alignment horizontal="left" vertical="center"/>
      <protection locked="0"/>
    </xf>
    <xf numFmtId="0" fontId="56" fillId="0" borderId="37" xfId="203" applyNumberFormat="1" applyFont="1" applyFill="1" applyBorder="1" applyAlignment="1" applyProtection="1">
      <alignment horizontal="left" vertical="center"/>
      <protection locked="0"/>
    </xf>
    <xf numFmtId="49" fontId="45" fillId="0" borderId="0" xfId="142" applyNumberFormat="1" applyFont="1" applyFill="1" applyBorder="1" applyAlignment="1" applyProtection="1">
      <alignment horizontal="center" vertical="center"/>
      <protection locked="0"/>
    </xf>
    <xf numFmtId="0" fontId="49" fillId="0" borderId="13" xfId="161" applyFont="1" applyBorder="1" applyAlignment="1">
      <alignment horizontal="center"/>
    </xf>
    <xf numFmtId="0" fontId="49" fillId="0" borderId="0" xfId="161" applyFont="1" applyBorder="1" applyAlignment="1">
      <alignment horizontal="center"/>
    </xf>
    <xf numFmtId="0" fontId="56" fillId="0" borderId="13" xfId="203" applyNumberFormat="1" applyFont="1" applyFill="1" applyBorder="1" applyAlignment="1" applyProtection="1">
      <alignment horizontal="left" vertical="center" wrapText="1"/>
      <protection locked="0"/>
    </xf>
    <xf numFmtId="0" fontId="56" fillId="0" borderId="0" xfId="203" applyNumberFormat="1" applyFont="1" applyFill="1" applyBorder="1" applyAlignment="1" applyProtection="1">
      <alignment horizontal="left" vertical="center" wrapText="1"/>
      <protection locked="0"/>
    </xf>
    <xf numFmtId="49" fontId="50" fillId="0" borderId="13" xfId="142" applyNumberFormat="1" applyFont="1" applyFill="1" applyBorder="1" applyAlignment="1" applyProtection="1">
      <alignment horizontal="left" vertical="center" wrapText="1"/>
      <protection locked="0"/>
    </xf>
    <xf numFmtId="49" fontId="50" fillId="0" borderId="0" xfId="142" applyNumberFormat="1" applyFont="1" applyFill="1" applyBorder="1" applyAlignment="1" applyProtection="1">
      <alignment horizontal="left" vertical="center" wrapText="1"/>
      <protection locked="0"/>
    </xf>
    <xf numFmtId="0" fontId="1" fillId="0" borderId="53" xfId="120" applyFont="1" applyBorder="1" applyAlignment="1">
      <alignment horizontal="center" wrapText="1"/>
    </xf>
    <xf numFmtId="0" fontId="1" fillId="0" borderId="54" xfId="120" applyFont="1" applyBorder="1" applyAlignment="1">
      <alignment horizontal="center" wrapText="1"/>
    </xf>
    <xf numFmtId="0" fontId="49" fillId="0" borderId="33" xfId="120" applyFont="1" applyBorder="1" applyAlignment="1">
      <alignment horizontal="center"/>
    </xf>
    <xf numFmtId="0" fontId="49" fillId="0" borderId="19" xfId="120" applyFont="1" applyBorder="1" applyAlignment="1">
      <alignment horizontal="center"/>
    </xf>
    <xf numFmtId="0" fontId="49" fillId="0" borderId="25" xfId="120" applyFont="1" applyBorder="1" applyAlignment="1">
      <alignment horizontal="center"/>
    </xf>
    <xf numFmtId="0" fontId="94" fillId="0" borderId="33" xfId="120" applyFont="1" applyBorder="1" applyAlignment="1">
      <alignment horizontal="center" vertical="center" wrapText="1"/>
    </xf>
    <xf numFmtId="0" fontId="94" fillId="0" borderId="19" xfId="120" applyFont="1" applyBorder="1" applyAlignment="1">
      <alignment horizontal="center" vertical="center" wrapText="1"/>
    </xf>
    <xf numFmtId="0" fontId="50" fillId="0" borderId="33" xfId="120" applyFont="1" applyBorder="1" applyAlignment="1">
      <alignment horizontal="center"/>
    </xf>
    <xf numFmtId="0" fontId="50" fillId="0" borderId="19" xfId="120" applyFont="1" applyBorder="1" applyAlignment="1">
      <alignment horizontal="center"/>
    </xf>
    <xf numFmtId="0" fontId="50" fillId="0" borderId="25" xfId="120" applyFont="1" applyBorder="1" applyAlignment="1">
      <alignment horizontal="center"/>
    </xf>
    <xf numFmtId="0" fontId="1" fillId="0" borderId="33" xfId="120" applyFont="1" applyBorder="1" applyAlignment="1">
      <alignment horizontal="center"/>
    </xf>
    <xf numFmtId="0" fontId="1" fillId="0" borderId="25" xfId="120" applyFont="1" applyBorder="1" applyAlignment="1">
      <alignment horizontal="center"/>
    </xf>
    <xf numFmtId="0" fontId="1" fillId="0" borderId="44" xfId="120" applyFont="1" applyBorder="1" applyAlignment="1">
      <alignment horizontal="center"/>
    </xf>
    <xf numFmtId="0" fontId="1" fillId="0" borderId="46" xfId="120" applyFont="1" applyBorder="1" applyAlignment="1">
      <alignment horizontal="center"/>
    </xf>
    <xf numFmtId="0" fontId="1" fillId="0" borderId="47" xfId="120" applyFont="1" applyBorder="1" applyAlignment="1">
      <alignment horizontal="left"/>
    </xf>
    <xf numFmtId="0" fontId="1" fillId="0" borderId="45" xfId="120" applyFont="1" applyBorder="1" applyAlignment="1">
      <alignment horizontal="left"/>
    </xf>
    <xf numFmtId="0" fontId="1" fillId="0" borderId="46" xfId="120" applyFont="1" applyBorder="1" applyAlignment="1">
      <alignment horizontal="left"/>
    </xf>
    <xf numFmtId="0" fontId="1" fillId="0" borderId="51" xfId="120" applyFont="1" applyBorder="1" applyAlignment="1">
      <alignment horizontal="left"/>
    </xf>
    <xf numFmtId="0" fontId="1" fillId="0" borderId="52" xfId="120" applyFont="1" applyBorder="1" applyAlignment="1">
      <alignment horizontal="left"/>
    </xf>
    <xf numFmtId="0" fontId="1" fillId="0" borderId="24" xfId="120" applyFont="1" applyBorder="1" applyAlignment="1">
      <alignment horizontal="left"/>
    </xf>
    <xf numFmtId="0" fontId="1" fillId="0" borderId="44" xfId="120" applyFont="1" applyBorder="1" applyAlignment="1">
      <alignment horizontal="center" vertical="center"/>
    </xf>
    <xf numFmtId="0" fontId="1" fillId="0" borderId="46" xfId="120" applyFont="1" applyBorder="1" applyAlignment="1">
      <alignment horizontal="center" vertical="center"/>
    </xf>
    <xf numFmtId="0" fontId="1" fillId="0" borderId="47" xfId="120" applyFont="1" applyBorder="1" applyAlignment="1">
      <alignment horizontal="left" vertical="center" wrapText="1"/>
    </xf>
    <xf numFmtId="0" fontId="1" fillId="0" borderId="45" xfId="120" applyFont="1" applyBorder="1" applyAlignment="1">
      <alignment horizontal="left" vertical="center" wrapText="1"/>
    </xf>
    <xf numFmtId="0" fontId="1" fillId="0" borderId="46" xfId="120" applyFont="1" applyBorder="1" applyAlignment="1">
      <alignment horizontal="left" vertical="center" wrapText="1"/>
    </xf>
    <xf numFmtId="0" fontId="1" fillId="0" borderId="51" xfId="120" applyFont="1" applyBorder="1" applyAlignment="1">
      <alignment horizontal="left" vertical="center" wrapText="1"/>
    </xf>
    <xf numFmtId="0" fontId="1" fillId="0" borderId="52" xfId="120" applyFont="1" applyBorder="1" applyAlignment="1">
      <alignment horizontal="left" vertical="center" wrapText="1"/>
    </xf>
    <xf numFmtId="0" fontId="1" fillId="0" borderId="24" xfId="120" applyFont="1" applyBorder="1" applyAlignment="1">
      <alignment horizontal="left" vertical="center" wrapText="1"/>
    </xf>
    <xf numFmtId="0" fontId="1" fillId="0" borderId="50" xfId="120" applyFont="1" applyBorder="1" applyAlignment="1">
      <alignment horizontal="center" vertical="center"/>
    </xf>
    <xf numFmtId="0" fontId="1" fillId="0" borderId="24" xfId="120" applyFont="1" applyBorder="1" applyAlignment="1">
      <alignment horizontal="center" vertical="center"/>
    </xf>
    <xf numFmtId="0" fontId="1" fillId="0" borderId="50" xfId="120" applyFont="1" applyBorder="1" applyAlignment="1">
      <alignment horizontal="center"/>
    </xf>
    <xf numFmtId="0" fontId="1" fillId="0" borderId="24" xfId="120" applyFont="1" applyBorder="1" applyAlignment="1">
      <alignment horizontal="center"/>
    </xf>
    <xf numFmtId="0" fontId="1" fillId="0" borderId="40" xfId="120" applyFont="1" applyBorder="1" applyAlignment="1">
      <alignment horizontal="center" vertical="center"/>
    </xf>
    <xf numFmtId="0" fontId="1" fillId="0" borderId="15" xfId="120" applyFont="1" applyBorder="1" applyAlignment="1">
      <alignment horizontal="center" vertical="center"/>
    </xf>
    <xf numFmtId="0" fontId="1" fillId="0" borderId="21" xfId="120" applyFont="1" applyBorder="1" applyAlignment="1">
      <alignment horizontal="center" vertical="center"/>
    </xf>
    <xf numFmtId="0" fontId="1" fillId="0" borderId="13" xfId="120" applyFont="1" applyBorder="1" applyAlignment="1">
      <alignment horizontal="center" vertical="center"/>
    </xf>
    <xf numFmtId="0" fontId="1" fillId="0" borderId="0" xfId="120" applyFont="1" applyAlignment="1">
      <alignment horizontal="center" vertical="center"/>
    </xf>
    <xf numFmtId="0" fontId="1" fillId="0" borderId="11" xfId="120" applyFont="1" applyBorder="1" applyAlignment="1">
      <alignment horizontal="center" vertical="center"/>
    </xf>
    <xf numFmtId="0" fontId="1" fillId="0" borderId="14" xfId="120" applyFont="1" applyBorder="1" applyAlignment="1">
      <alignment horizontal="center" vertical="center"/>
    </xf>
    <xf numFmtId="0" fontId="1" fillId="0" borderId="10" xfId="120" applyFont="1" applyBorder="1" applyAlignment="1">
      <alignment horizontal="center" vertical="center"/>
    </xf>
    <xf numFmtId="0" fontId="1" fillId="0" borderId="12" xfId="120" applyFont="1" applyBorder="1" applyAlignment="1">
      <alignment horizontal="center" vertical="center"/>
    </xf>
    <xf numFmtId="0" fontId="31" fillId="0" borderId="13" xfId="203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203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142" applyNumberFormat="1" applyFont="1" applyFill="1" applyBorder="1" applyAlignment="1" applyProtection="1">
      <alignment horizontal="center" wrapText="1"/>
      <protection locked="0"/>
    </xf>
    <xf numFmtId="0" fontId="4" fillId="0" borderId="0" xfId="142" applyNumberFormat="1" applyFont="1" applyFill="1" applyBorder="1" applyAlignment="1" applyProtection="1">
      <alignment horizontal="center" wrapText="1"/>
      <protection locked="0"/>
    </xf>
    <xf numFmtId="0" fontId="41" fillId="0" borderId="0" xfId="161" applyFont="1" applyBorder="1" applyAlignment="1">
      <alignment horizontal="center"/>
    </xf>
    <xf numFmtId="0" fontId="41" fillId="0" borderId="11" xfId="161" applyFont="1" applyBorder="1" applyAlignment="1">
      <alignment horizontal="center"/>
    </xf>
    <xf numFmtId="0" fontId="4" fillId="0" borderId="43" xfId="203" applyNumberFormat="1" applyFont="1" applyFill="1" applyBorder="1" applyAlignment="1" applyProtection="1">
      <alignment horizontal="left" vertical="center"/>
      <protection locked="0"/>
    </xf>
    <xf numFmtId="0" fontId="4" fillId="0" borderId="37" xfId="203" applyNumberFormat="1" applyFont="1" applyFill="1" applyBorder="1" applyAlignment="1" applyProtection="1">
      <alignment horizontal="left" vertical="center"/>
      <protection locked="0"/>
    </xf>
    <xf numFmtId="39" fontId="4" fillId="0" borderId="37" xfId="95" applyNumberFormat="1" applyFont="1" applyFill="1" applyBorder="1" applyAlignment="1" applyProtection="1">
      <alignment horizontal="center" wrapText="1"/>
      <protection locked="0"/>
    </xf>
    <xf numFmtId="22" fontId="41" fillId="0" borderId="37" xfId="161" applyNumberFormat="1" applyFont="1" applyBorder="1" applyAlignment="1">
      <alignment horizontal="center"/>
    </xf>
    <xf numFmtId="0" fontId="41" fillId="0" borderId="38" xfId="161" applyFont="1" applyBorder="1" applyAlignment="1">
      <alignment horizontal="center"/>
    </xf>
    <xf numFmtId="0" fontId="48" fillId="59" borderId="40" xfId="161" applyFont="1" applyFill="1" applyBorder="1" applyAlignment="1">
      <alignment horizontal="center" vertical="center"/>
    </xf>
    <xf numFmtId="0" fontId="48" fillId="59" borderId="15" xfId="161" applyFont="1" applyFill="1" applyBorder="1" applyAlignment="1">
      <alignment horizontal="center" vertical="center"/>
    </xf>
    <xf numFmtId="0" fontId="48" fillId="59" borderId="21" xfId="161" applyFont="1" applyFill="1" applyBorder="1" applyAlignment="1">
      <alignment horizontal="center" vertical="center"/>
    </xf>
    <xf numFmtId="0" fontId="48" fillId="59" borderId="14" xfId="161" applyFont="1" applyFill="1" applyBorder="1" applyAlignment="1">
      <alignment horizontal="center" vertical="center"/>
    </xf>
    <xf numFmtId="0" fontId="48" fillId="59" borderId="10" xfId="161" applyFont="1" applyFill="1" applyBorder="1" applyAlignment="1">
      <alignment horizontal="center" vertical="center"/>
    </xf>
    <xf numFmtId="0" fontId="48" fillId="59" borderId="12" xfId="161" applyFont="1" applyFill="1" applyBorder="1" applyAlignment="1">
      <alignment horizontal="center" vertical="center"/>
    </xf>
    <xf numFmtId="0" fontId="47" fillId="0" borderId="0" xfId="161" applyFont="1" applyFill="1" applyBorder="1" applyAlignment="1">
      <alignment horizontal="center" vertical="center" textRotation="90"/>
    </xf>
    <xf numFmtId="0" fontId="45" fillId="59" borderId="33" xfId="161" applyFont="1" applyFill="1" applyBorder="1" applyAlignment="1">
      <alignment horizontal="left" vertical="center" wrapText="1"/>
    </xf>
    <xf numFmtId="0" fontId="45" fillId="59" borderId="25" xfId="161" applyFont="1" applyFill="1" applyBorder="1" applyAlignment="1">
      <alignment horizontal="left" vertical="center" wrapText="1"/>
    </xf>
    <xf numFmtId="0" fontId="45" fillId="59" borderId="36" xfId="161" applyFont="1" applyFill="1" applyBorder="1" applyAlignment="1">
      <alignment horizontal="left" vertical="center"/>
    </xf>
    <xf numFmtId="0" fontId="45" fillId="59" borderId="16" xfId="161" applyFont="1" applyFill="1" applyBorder="1" applyAlignment="1">
      <alignment horizontal="left" vertical="center"/>
    </xf>
    <xf numFmtId="171" fontId="58" fillId="0" borderId="0" xfId="161" applyNumberFormat="1" applyFont="1" applyFill="1" applyBorder="1" applyAlignment="1">
      <alignment horizontal="center" vertical="center"/>
    </xf>
    <xf numFmtId="10" fontId="2" fillId="0" borderId="51" xfId="323" applyNumberFormat="1" applyFont="1" applyBorder="1" applyAlignment="1">
      <alignment horizontal="center" vertical="center"/>
    </xf>
    <xf numFmtId="10" fontId="2" fillId="0" borderId="24" xfId="323" applyNumberFormat="1" applyFont="1" applyBorder="1" applyAlignment="1">
      <alignment horizontal="center" vertical="center"/>
    </xf>
    <xf numFmtId="49" fontId="56" fillId="59" borderId="33" xfId="161" applyNumberFormat="1" applyFont="1" applyFill="1" applyBorder="1" applyAlignment="1">
      <alignment horizontal="center" vertical="center"/>
    </xf>
    <xf numFmtId="49" fontId="56" fillId="59" borderId="19" xfId="161" applyNumberFormat="1" applyFont="1" applyFill="1" applyBorder="1" applyAlignment="1">
      <alignment horizontal="center" vertical="center"/>
    </xf>
    <xf numFmtId="49" fontId="56" fillId="59" borderId="25" xfId="161" applyNumberFormat="1" applyFont="1" applyFill="1" applyBorder="1" applyAlignment="1">
      <alignment horizontal="center" vertical="center"/>
    </xf>
    <xf numFmtId="49" fontId="59" fillId="59" borderId="35" xfId="161" applyNumberFormat="1" applyFont="1" applyFill="1" applyBorder="1" applyAlignment="1">
      <alignment horizontal="center" vertical="center" wrapText="1"/>
    </xf>
    <xf numFmtId="49" fontId="59" fillId="59" borderId="30" xfId="161" applyNumberFormat="1" applyFont="1" applyFill="1" applyBorder="1" applyAlignment="1">
      <alignment horizontal="center" vertical="center" wrapText="1"/>
    </xf>
    <xf numFmtId="49" fontId="59" fillId="59" borderId="47" xfId="161" applyNumberFormat="1" applyFont="1" applyFill="1" applyBorder="1" applyAlignment="1">
      <alignment horizontal="center" vertical="center" wrapText="1"/>
    </xf>
    <xf numFmtId="49" fontId="59" fillId="59" borderId="31" xfId="161" applyNumberFormat="1" applyFont="1" applyFill="1" applyBorder="1" applyAlignment="1">
      <alignment horizontal="center" vertical="center" wrapText="1"/>
    </xf>
    <xf numFmtId="49" fontId="59" fillId="59" borderId="27" xfId="161" applyNumberFormat="1" applyFont="1" applyFill="1" applyBorder="1" applyAlignment="1">
      <alignment horizontal="center" vertical="center" wrapText="1"/>
    </xf>
    <xf numFmtId="49" fontId="59" fillId="59" borderId="20" xfId="161" applyNumberFormat="1" applyFont="1" applyFill="1" applyBorder="1" applyAlignment="1">
      <alignment horizontal="center" vertical="center" wrapText="1"/>
    </xf>
    <xf numFmtId="49" fontId="59" fillId="59" borderId="51" xfId="161" applyNumberFormat="1" applyFont="1" applyFill="1" applyBorder="1" applyAlignment="1">
      <alignment horizontal="center" vertical="center" wrapText="1"/>
    </xf>
    <xf numFmtId="49" fontId="59" fillId="59" borderId="26" xfId="161" applyNumberFormat="1" applyFont="1" applyFill="1" applyBorder="1" applyAlignment="1">
      <alignment horizontal="center" vertical="center" wrapText="1"/>
    </xf>
    <xf numFmtId="0" fontId="59" fillId="0" borderId="34" xfId="161" applyFont="1" applyFill="1" applyBorder="1" applyAlignment="1">
      <alignment horizontal="center" vertical="center"/>
    </xf>
    <xf numFmtId="0" fontId="59" fillId="0" borderId="28" xfId="161" applyFont="1" applyFill="1" applyBorder="1" applyAlignment="1">
      <alignment horizontal="center" vertical="center"/>
    </xf>
    <xf numFmtId="0" fontId="59" fillId="0" borderId="22" xfId="161" applyFont="1" applyFill="1" applyBorder="1" applyAlignment="1">
      <alignment horizontal="center" vertical="center"/>
    </xf>
    <xf numFmtId="0" fontId="59" fillId="0" borderId="29" xfId="161" applyFont="1" applyFill="1" applyBorder="1" applyAlignment="1">
      <alignment horizontal="center" vertical="center"/>
    </xf>
    <xf numFmtId="0" fontId="59" fillId="0" borderId="23" xfId="161" applyFont="1" applyFill="1" applyBorder="1" applyAlignment="1">
      <alignment horizontal="center" vertical="center"/>
    </xf>
    <xf numFmtId="0" fontId="59" fillId="0" borderId="39" xfId="161" applyFont="1" applyFill="1" applyBorder="1" applyAlignment="1">
      <alignment horizontal="center" vertical="center"/>
    </xf>
    <xf numFmtId="0" fontId="59" fillId="57" borderId="49" xfId="161" applyFont="1" applyFill="1" applyBorder="1" applyAlignment="1">
      <alignment horizontal="center" vertical="center"/>
    </xf>
    <xf numFmtId="0" fontId="59" fillId="57" borderId="48" xfId="161" applyFont="1" applyFill="1" applyBorder="1" applyAlignment="1">
      <alignment horizontal="center" vertical="center"/>
    </xf>
    <xf numFmtId="0" fontId="2" fillId="0" borderId="13" xfId="161" applyFont="1" applyBorder="1" applyAlignment="1">
      <alignment vertical="center"/>
    </xf>
    <xf numFmtId="0" fontId="2" fillId="0" borderId="0" xfId="161" applyFont="1" applyBorder="1" applyAlignment="1">
      <alignment vertical="center"/>
    </xf>
    <xf numFmtId="0" fontId="45" fillId="0" borderId="30" xfId="161" applyFont="1" applyFill="1" applyBorder="1" applyAlignment="1">
      <alignment horizontal="justify" vertical="center" wrapText="1"/>
    </xf>
    <xf numFmtId="0" fontId="45" fillId="0" borderId="31" xfId="161" applyFont="1" applyFill="1" applyBorder="1" applyAlignment="1">
      <alignment horizontal="justify" vertical="center" wrapText="1"/>
    </xf>
    <xf numFmtId="0" fontId="34" fillId="0" borderId="47" xfId="161" applyFont="1" applyBorder="1" applyAlignment="1">
      <alignment horizontal="center"/>
    </xf>
    <xf numFmtId="0" fontId="34" fillId="0" borderId="46" xfId="161" applyFont="1" applyBorder="1" applyAlignment="1">
      <alignment horizontal="center"/>
    </xf>
    <xf numFmtId="0" fontId="45" fillId="0" borderId="28" xfId="161" applyFont="1" applyFill="1" applyBorder="1" applyAlignment="1">
      <alignment horizontal="right" vertical="center"/>
    </xf>
    <xf numFmtId="0" fontId="45" fillId="0" borderId="29" xfId="161" applyFont="1" applyFill="1" applyBorder="1" applyAlignment="1">
      <alignment horizontal="right" vertical="center"/>
    </xf>
    <xf numFmtId="10" fontId="2" fillId="0" borderId="49" xfId="323" applyNumberFormat="1" applyFont="1" applyBorder="1" applyAlignment="1">
      <alignment horizontal="center" vertical="center"/>
    </xf>
    <xf numFmtId="10" fontId="2" fillId="0" borderId="48" xfId="323" applyNumberFormat="1" applyFont="1" applyBorder="1" applyAlignment="1">
      <alignment horizontal="center" vertical="center"/>
    </xf>
    <xf numFmtId="0" fontId="2" fillId="0" borderId="13" xfId="161" applyFont="1" applyBorder="1" applyAlignment="1">
      <alignment horizontal="center" vertical="center"/>
    </xf>
    <xf numFmtId="0" fontId="2" fillId="0" borderId="0" xfId="161" applyFont="1" applyBorder="1" applyAlignment="1">
      <alignment horizontal="center" vertical="center"/>
    </xf>
    <xf numFmtId="10" fontId="2" fillId="0" borderId="47" xfId="323" applyNumberFormat="1" applyFont="1" applyBorder="1" applyAlignment="1">
      <alignment horizontal="center" vertical="center"/>
    </xf>
    <xf numFmtId="10" fontId="2" fillId="0" borderId="46" xfId="323" applyNumberFormat="1" applyFont="1" applyBorder="1" applyAlignment="1">
      <alignment horizontal="center" vertical="center"/>
    </xf>
    <xf numFmtId="49" fontId="59" fillId="59" borderId="40" xfId="161" applyNumberFormat="1" applyFont="1" applyFill="1" applyBorder="1" applyAlignment="1">
      <alignment horizontal="center" vertical="center" wrapText="1"/>
    </xf>
    <xf numFmtId="49" fontId="59" fillId="59" borderId="15" xfId="161" applyNumberFormat="1" applyFont="1" applyFill="1" applyBorder="1" applyAlignment="1">
      <alignment horizontal="center" vertical="center" wrapText="1"/>
    </xf>
    <xf numFmtId="49" fontId="59" fillId="59" borderId="21" xfId="161" applyNumberFormat="1" applyFont="1" applyFill="1" applyBorder="1" applyAlignment="1">
      <alignment horizontal="center" vertical="center" wrapText="1"/>
    </xf>
    <xf numFmtId="10" fontId="47" fillId="0" borderId="41" xfId="323" applyNumberFormat="1" applyFont="1" applyBorder="1" applyAlignment="1">
      <alignment horizontal="center" vertical="center" wrapText="1"/>
    </xf>
    <xf numFmtId="10" fontId="47" fillId="0" borderId="55" xfId="323" applyNumberFormat="1" applyFont="1" applyBorder="1" applyAlignment="1">
      <alignment horizontal="center" vertical="center" wrapText="1"/>
    </xf>
    <xf numFmtId="0" fontId="47" fillId="0" borderId="32" xfId="161" applyFont="1" applyBorder="1" applyAlignment="1">
      <alignment horizontal="center" vertical="center" wrapText="1"/>
    </xf>
    <xf numFmtId="0" fontId="47" fillId="0" borderId="56" xfId="161" applyFont="1" applyBorder="1" applyAlignment="1">
      <alignment horizontal="center" vertical="center" wrapText="1"/>
    </xf>
    <xf numFmtId="0" fontId="47" fillId="0" borderId="42" xfId="161" applyFont="1" applyBorder="1" applyAlignment="1">
      <alignment horizontal="center" vertical="center" wrapText="1"/>
    </xf>
    <xf numFmtId="0" fontId="47" fillId="0" borderId="57" xfId="161" applyFont="1" applyBorder="1" applyAlignment="1">
      <alignment horizontal="center" vertical="center" wrapText="1"/>
    </xf>
    <xf numFmtId="0" fontId="2" fillId="0" borderId="41" xfId="161" applyFont="1" applyBorder="1" applyAlignment="1">
      <alignment horizontal="center" vertical="center"/>
    </xf>
    <xf numFmtId="0" fontId="2" fillId="0" borderId="34" xfId="161" applyFont="1" applyBorder="1" applyAlignment="1">
      <alignment horizontal="center" vertical="center"/>
    </xf>
    <xf numFmtId="0" fontId="2" fillId="0" borderId="32" xfId="161" applyFont="1" applyFill="1" applyBorder="1" applyAlignment="1">
      <alignment horizontal="left" vertical="center"/>
    </xf>
    <xf numFmtId="0" fontId="2" fillId="0" borderId="22" xfId="161" applyFont="1" applyFill="1" applyBorder="1" applyAlignment="1">
      <alignment horizontal="left" vertical="center"/>
    </xf>
    <xf numFmtId="10" fontId="2" fillId="60" borderId="42" xfId="323" applyNumberFormat="1" applyFont="1" applyFill="1" applyBorder="1" applyAlignment="1" applyProtection="1">
      <alignment horizontal="center" vertical="center"/>
      <protection locked="0"/>
    </xf>
    <xf numFmtId="10" fontId="2" fillId="60" borderId="23" xfId="323" applyNumberFormat="1" applyFont="1" applyFill="1" applyBorder="1" applyAlignment="1" applyProtection="1">
      <alignment horizontal="center" vertical="center"/>
      <protection locked="0"/>
    </xf>
    <xf numFmtId="10" fontId="2" fillId="0" borderId="18" xfId="323" applyNumberFormat="1" applyFont="1" applyBorder="1" applyAlignment="1">
      <alignment horizontal="center" vertical="center"/>
    </xf>
    <xf numFmtId="10" fontId="2" fillId="0" borderId="58" xfId="323" applyNumberFormat="1" applyFont="1" applyBorder="1" applyAlignment="1">
      <alignment horizontal="center" vertical="center"/>
    </xf>
    <xf numFmtId="0" fontId="49" fillId="0" borderId="40" xfId="161" applyFont="1" applyBorder="1" applyAlignment="1">
      <alignment horizontal="center" vertical="center"/>
    </xf>
    <xf numFmtId="0" fontId="49" fillId="0" borderId="15" xfId="161" applyFont="1" applyBorder="1" applyAlignment="1">
      <alignment horizontal="center" vertical="center"/>
    </xf>
    <xf numFmtId="0" fontId="49" fillId="0" borderId="14" xfId="161" applyFont="1" applyBorder="1" applyAlignment="1">
      <alignment horizontal="center" vertical="center"/>
    </xf>
    <xf numFmtId="0" fontId="49" fillId="0" borderId="10" xfId="161" applyFont="1" applyBorder="1" applyAlignment="1">
      <alignment horizontal="center" vertical="center"/>
    </xf>
    <xf numFmtId="10" fontId="49" fillId="59" borderId="21" xfId="161" applyNumberFormat="1" applyFont="1" applyFill="1" applyBorder="1" applyAlignment="1">
      <alignment horizontal="center" vertical="center"/>
    </xf>
    <xf numFmtId="10" fontId="49" fillId="59" borderId="12" xfId="161" applyNumberFormat="1" applyFont="1" applyFill="1" applyBorder="1" applyAlignment="1">
      <alignment horizontal="center" vertical="center"/>
    </xf>
    <xf numFmtId="10" fontId="2" fillId="0" borderId="18" xfId="161" applyNumberFormat="1" applyFont="1" applyFill="1" applyBorder="1" applyAlignment="1">
      <alignment horizontal="center" vertical="center"/>
    </xf>
    <xf numFmtId="10" fontId="2" fillId="0" borderId="58" xfId="161" applyNumberFormat="1" applyFont="1" applyFill="1" applyBorder="1" applyAlignment="1">
      <alignment horizontal="center" vertical="center"/>
    </xf>
    <xf numFmtId="10" fontId="2" fillId="0" borderId="0" xfId="323" applyNumberFormat="1" applyFont="1" applyBorder="1" applyAlignment="1">
      <alignment horizontal="center" vertical="center"/>
    </xf>
    <xf numFmtId="165" fontId="45" fillId="59" borderId="35" xfId="161" applyNumberFormat="1" applyFont="1" applyFill="1" applyBorder="1" applyAlignment="1">
      <alignment horizontal="center" vertical="center" wrapText="1"/>
    </xf>
    <xf numFmtId="165" fontId="45" fillId="59" borderId="30" xfId="161" applyNumberFormat="1" applyFont="1" applyFill="1" applyBorder="1" applyAlignment="1">
      <alignment horizontal="center" vertical="center" wrapText="1"/>
    </xf>
    <xf numFmtId="165" fontId="45" fillId="59" borderId="31" xfId="161" applyNumberFormat="1" applyFont="1" applyFill="1" applyBorder="1" applyAlignment="1">
      <alignment horizontal="center" vertical="center" wrapText="1"/>
    </xf>
    <xf numFmtId="165" fontId="45" fillId="59" borderId="27" xfId="161" applyNumberFormat="1" applyFont="1" applyFill="1" applyBorder="1" applyAlignment="1">
      <alignment horizontal="center" vertical="center" wrapText="1"/>
    </xf>
    <xf numFmtId="165" fontId="45" fillId="59" borderId="20" xfId="161" applyNumberFormat="1" applyFont="1" applyFill="1" applyBorder="1" applyAlignment="1">
      <alignment horizontal="center" vertical="center" wrapText="1"/>
    </xf>
    <xf numFmtId="165" fontId="45" fillId="59" borderId="26" xfId="161" applyNumberFormat="1" applyFont="1" applyFill="1" applyBorder="1" applyAlignment="1">
      <alignment horizontal="center" vertical="center" wrapText="1"/>
    </xf>
    <xf numFmtId="0" fontId="2" fillId="0" borderId="13" xfId="161" applyFont="1" applyFill="1" applyBorder="1" applyAlignment="1">
      <alignment horizontal="center" vertical="center"/>
    </xf>
    <xf numFmtId="0" fontId="2" fillId="0" borderId="0" xfId="161" applyFont="1" applyFill="1" applyBorder="1" applyAlignment="1">
      <alignment horizontal="center" vertical="center"/>
    </xf>
    <xf numFmtId="0" fontId="45" fillId="0" borderId="40" xfId="161" applyFont="1" applyFill="1" applyBorder="1" applyAlignment="1">
      <alignment horizontal="center" vertical="center"/>
    </xf>
    <xf numFmtId="0" fontId="45" fillId="0" borderId="15" xfId="161" applyFont="1" applyFill="1" applyBorder="1" applyAlignment="1">
      <alignment horizontal="center" vertical="center"/>
    </xf>
    <xf numFmtId="0" fontId="45" fillId="0" borderId="21" xfId="161" applyFont="1" applyFill="1" applyBorder="1" applyAlignment="1">
      <alignment horizontal="center" vertical="center"/>
    </xf>
    <xf numFmtId="0" fontId="45" fillId="0" borderId="14" xfId="161" applyFont="1" applyFill="1" applyBorder="1" applyAlignment="1">
      <alignment horizontal="center" vertical="center"/>
    </xf>
    <xf numFmtId="0" fontId="45" fillId="0" borderId="10" xfId="161" applyFont="1" applyFill="1" applyBorder="1" applyAlignment="1">
      <alignment horizontal="center" vertical="center"/>
    </xf>
    <xf numFmtId="0" fontId="45" fillId="0" borderId="12" xfId="161" applyFont="1" applyFill="1" applyBorder="1" applyAlignment="1">
      <alignment horizontal="center" vertical="center"/>
    </xf>
    <xf numFmtId="0" fontId="59" fillId="57" borderId="29" xfId="161" applyFont="1" applyFill="1" applyBorder="1" applyAlignment="1">
      <alignment horizontal="center" vertical="center"/>
    </xf>
  </cellXfs>
  <cellStyles count="357">
    <cellStyle name="0,0_x000d__x000a_NA_x000d__x000a_" xfId="1" xr:uid="{00000000-0005-0000-0000-000000000000}"/>
    <cellStyle name="20% - Ênfase1" xfId="2" builtinId="30" customBuiltin="1"/>
    <cellStyle name="20% - Ênfase1 2" xfId="3" xr:uid="{00000000-0005-0000-0000-000002000000}"/>
    <cellStyle name="20% - Ênfase1 3" xfId="4" xr:uid="{00000000-0005-0000-0000-000003000000}"/>
    <cellStyle name="20% - Ênfase2" xfId="5" builtinId="34" customBuiltin="1"/>
    <cellStyle name="20% - Ênfase2 2" xfId="6" xr:uid="{00000000-0005-0000-0000-000005000000}"/>
    <cellStyle name="20% - Ênfase2 3" xfId="7" xr:uid="{00000000-0005-0000-0000-000006000000}"/>
    <cellStyle name="20% - Ênfase3" xfId="8" builtinId="38" customBuiltin="1"/>
    <cellStyle name="20% - Ênfase3 2" xfId="9" xr:uid="{00000000-0005-0000-0000-000008000000}"/>
    <cellStyle name="20% - Ênfase3 3" xfId="10" xr:uid="{00000000-0005-0000-0000-000009000000}"/>
    <cellStyle name="20% - Ênfase4" xfId="11" builtinId="42" customBuiltin="1"/>
    <cellStyle name="20% - Ênfase4 2" xfId="12" xr:uid="{00000000-0005-0000-0000-00000B000000}"/>
    <cellStyle name="20% - Ênfase4 3" xfId="13" xr:uid="{00000000-0005-0000-0000-00000C000000}"/>
    <cellStyle name="20% - Ênfase5" xfId="14" builtinId="46" customBuiltin="1"/>
    <cellStyle name="20% - Ênfase5 2" xfId="15" xr:uid="{00000000-0005-0000-0000-00000E000000}"/>
    <cellStyle name="20% - Ênfase5 3" xfId="16" xr:uid="{00000000-0005-0000-0000-00000F000000}"/>
    <cellStyle name="20% - Ênfase6" xfId="17" builtinId="50" customBuiltin="1"/>
    <cellStyle name="20% - Ênfase6 2" xfId="18" xr:uid="{00000000-0005-0000-0000-000011000000}"/>
    <cellStyle name="20% - Ênfase6 3" xfId="19" xr:uid="{00000000-0005-0000-0000-000012000000}"/>
    <cellStyle name="40% - Ênfase1" xfId="20" builtinId="31" customBuiltin="1"/>
    <cellStyle name="40% - Ênfase1 2" xfId="21" xr:uid="{00000000-0005-0000-0000-000014000000}"/>
    <cellStyle name="40% - Ênfase1 3" xfId="22" xr:uid="{00000000-0005-0000-0000-000015000000}"/>
    <cellStyle name="40% - Ênfase2" xfId="23" builtinId="35" customBuiltin="1"/>
    <cellStyle name="40% - Ênfase2 2" xfId="24" xr:uid="{00000000-0005-0000-0000-000017000000}"/>
    <cellStyle name="40% - Ênfase2 3" xfId="25" xr:uid="{00000000-0005-0000-0000-000018000000}"/>
    <cellStyle name="40% - Ênfase3" xfId="26" builtinId="39" customBuiltin="1"/>
    <cellStyle name="40% - Ênfase3 2" xfId="27" xr:uid="{00000000-0005-0000-0000-00001A000000}"/>
    <cellStyle name="40% - Ênfase3 3" xfId="28" xr:uid="{00000000-0005-0000-0000-00001B000000}"/>
    <cellStyle name="40% - Ênfase4" xfId="29" builtinId="43" customBuiltin="1"/>
    <cellStyle name="40% - Ênfase4 2" xfId="30" xr:uid="{00000000-0005-0000-0000-00001D000000}"/>
    <cellStyle name="40% - Ênfase4 3" xfId="31" xr:uid="{00000000-0005-0000-0000-00001E000000}"/>
    <cellStyle name="40% - Ênfase5" xfId="32" builtinId="47" customBuiltin="1"/>
    <cellStyle name="40% - Ênfase5 2" xfId="33" xr:uid="{00000000-0005-0000-0000-000020000000}"/>
    <cellStyle name="40% - Ênfase5 3" xfId="34" xr:uid="{00000000-0005-0000-0000-000021000000}"/>
    <cellStyle name="40% - Ênfase6" xfId="35" builtinId="51" customBuiltin="1"/>
    <cellStyle name="40% - Ênfase6 2" xfId="36" xr:uid="{00000000-0005-0000-0000-000023000000}"/>
    <cellStyle name="40% - Ênfase6 3" xfId="37" xr:uid="{00000000-0005-0000-0000-000024000000}"/>
    <cellStyle name="60% - Ênfase1" xfId="38" builtinId="32" customBuiltin="1"/>
    <cellStyle name="60% - Ênfase1 2" xfId="39" xr:uid="{00000000-0005-0000-0000-000026000000}"/>
    <cellStyle name="60% - Ênfase1 3" xfId="40" xr:uid="{00000000-0005-0000-0000-000027000000}"/>
    <cellStyle name="60% - Ênfase2" xfId="41" builtinId="36" customBuiltin="1"/>
    <cellStyle name="60% - Ênfase2 2" xfId="42" xr:uid="{00000000-0005-0000-0000-000029000000}"/>
    <cellStyle name="60% - Ênfase2 3" xfId="43" xr:uid="{00000000-0005-0000-0000-00002A000000}"/>
    <cellStyle name="60% - Ênfase3" xfId="44" builtinId="40" customBuiltin="1"/>
    <cellStyle name="60% - Ênfase3 2" xfId="45" xr:uid="{00000000-0005-0000-0000-00002C000000}"/>
    <cellStyle name="60% - Ênfase3 3" xfId="46" xr:uid="{00000000-0005-0000-0000-00002D000000}"/>
    <cellStyle name="60% - Ênfase4" xfId="47" builtinId="44" customBuiltin="1"/>
    <cellStyle name="60% - Ênfase4 2" xfId="48" xr:uid="{00000000-0005-0000-0000-00002F000000}"/>
    <cellStyle name="60% - Ênfase4 3" xfId="49" xr:uid="{00000000-0005-0000-0000-000030000000}"/>
    <cellStyle name="60% - Ênfase5" xfId="50" builtinId="48" customBuiltin="1"/>
    <cellStyle name="60% - Ênfase5 2" xfId="51" xr:uid="{00000000-0005-0000-0000-000032000000}"/>
    <cellStyle name="60% - Ênfase5 3" xfId="52" xr:uid="{00000000-0005-0000-0000-000033000000}"/>
    <cellStyle name="60% - Ênfase6" xfId="53" builtinId="52" customBuiltin="1"/>
    <cellStyle name="60% - Ênfase6 2" xfId="54" xr:uid="{00000000-0005-0000-0000-000035000000}"/>
    <cellStyle name="60% - Ênfase6 3" xfId="55" xr:uid="{00000000-0005-0000-0000-000036000000}"/>
    <cellStyle name="Bom" xfId="56" builtinId="26" customBuiltin="1"/>
    <cellStyle name="Bom 2" xfId="57" xr:uid="{00000000-0005-0000-0000-000038000000}"/>
    <cellStyle name="Bom 3" xfId="58" xr:uid="{00000000-0005-0000-0000-000039000000}"/>
    <cellStyle name="Cálculo" xfId="59" builtinId="22" customBuiltin="1"/>
    <cellStyle name="Cálculo 2" xfId="60" xr:uid="{00000000-0005-0000-0000-00003B000000}"/>
    <cellStyle name="Cálculo 3" xfId="61" xr:uid="{00000000-0005-0000-0000-00003C000000}"/>
    <cellStyle name="Célula de Verificação" xfId="62" builtinId="23" customBuiltin="1"/>
    <cellStyle name="Célula de Verificação 2" xfId="63" xr:uid="{00000000-0005-0000-0000-00003E000000}"/>
    <cellStyle name="Célula de Verificação 3" xfId="64" xr:uid="{00000000-0005-0000-0000-00003F000000}"/>
    <cellStyle name="Célula Vinculada" xfId="65" builtinId="24" customBuiltin="1"/>
    <cellStyle name="Célula Vinculada 2" xfId="66" xr:uid="{00000000-0005-0000-0000-000041000000}"/>
    <cellStyle name="Célula Vinculada 3" xfId="67" xr:uid="{00000000-0005-0000-0000-000042000000}"/>
    <cellStyle name="Ênfase1" xfId="68" builtinId="29" customBuiltin="1"/>
    <cellStyle name="Ênfase1 2" xfId="69" xr:uid="{00000000-0005-0000-0000-000044000000}"/>
    <cellStyle name="Ênfase1 3" xfId="70" xr:uid="{00000000-0005-0000-0000-000045000000}"/>
    <cellStyle name="Ênfase2" xfId="71" builtinId="33" customBuiltin="1"/>
    <cellStyle name="Ênfase2 2" xfId="72" xr:uid="{00000000-0005-0000-0000-000047000000}"/>
    <cellStyle name="Ênfase2 3" xfId="73" xr:uid="{00000000-0005-0000-0000-000048000000}"/>
    <cellStyle name="Ênfase3" xfId="74" builtinId="37" customBuiltin="1"/>
    <cellStyle name="Ênfase3 2" xfId="75" xr:uid="{00000000-0005-0000-0000-00004A000000}"/>
    <cellStyle name="Ênfase3 3" xfId="76" xr:uid="{00000000-0005-0000-0000-00004B000000}"/>
    <cellStyle name="Ênfase4" xfId="77" builtinId="41" customBuiltin="1"/>
    <cellStyle name="Ênfase4 2" xfId="78" xr:uid="{00000000-0005-0000-0000-00004D000000}"/>
    <cellStyle name="Ênfase4 3" xfId="79" xr:uid="{00000000-0005-0000-0000-00004E000000}"/>
    <cellStyle name="Ênfase5" xfId="80" builtinId="45" customBuiltin="1"/>
    <cellStyle name="Ênfase5 2" xfId="81" xr:uid="{00000000-0005-0000-0000-000050000000}"/>
    <cellStyle name="Ênfase5 3" xfId="82" xr:uid="{00000000-0005-0000-0000-000051000000}"/>
    <cellStyle name="Ênfase6" xfId="83" builtinId="49" customBuiltin="1"/>
    <cellStyle name="Ênfase6 2" xfId="84" xr:uid="{00000000-0005-0000-0000-000053000000}"/>
    <cellStyle name="Ênfase6 3" xfId="85" xr:uid="{00000000-0005-0000-0000-000054000000}"/>
    <cellStyle name="Entrada" xfId="86" builtinId="20" customBuiltin="1"/>
    <cellStyle name="Entrada 2" xfId="87" xr:uid="{00000000-0005-0000-0000-000056000000}"/>
    <cellStyle name="Entrada 3" xfId="88" xr:uid="{00000000-0005-0000-0000-000057000000}"/>
    <cellStyle name="Hiperlink 2" xfId="89" xr:uid="{00000000-0005-0000-0000-000058000000}"/>
    <cellStyle name="Incorreto 2" xfId="90" xr:uid="{00000000-0005-0000-0000-000059000000}"/>
    <cellStyle name="Incorreto 3" xfId="91" xr:uid="{00000000-0005-0000-0000-00005A000000}"/>
    <cellStyle name="Indefinido" xfId="92" xr:uid="{00000000-0005-0000-0000-00005B000000}"/>
    <cellStyle name="Moeda" xfId="93" builtinId="4"/>
    <cellStyle name="Moeda 2" xfId="94" xr:uid="{00000000-0005-0000-0000-00005D000000}"/>
    <cellStyle name="Moeda 2 2" xfId="95" xr:uid="{00000000-0005-0000-0000-00005E000000}"/>
    <cellStyle name="Moeda 2 2 2" xfId="96" xr:uid="{00000000-0005-0000-0000-00005F000000}"/>
    <cellStyle name="Moeda 2 3" xfId="97" xr:uid="{00000000-0005-0000-0000-000060000000}"/>
    <cellStyle name="Moeda 2 4" xfId="98" xr:uid="{00000000-0005-0000-0000-000061000000}"/>
    <cellStyle name="Moeda 2 5" xfId="99" xr:uid="{00000000-0005-0000-0000-000062000000}"/>
    <cellStyle name="Moeda 2 5 2" xfId="100" xr:uid="{00000000-0005-0000-0000-000063000000}"/>
    <cellStyle name="Moeda 2 5 2 2" xfId="101" xr:uid="{00000000-0005-0000-0000-000064000000}"/>
    <cellStyle name="Moeda 2 5 3" xfId="102" xr:uid="{00000000-0005-0000-0000-000065000000}"/>
    <cellStyle name="Moeda 2 6" xfId="103" xr:uid="{00000000-0005-0000-0000-000066000000}"/>
    <cellStyle name="Moeda 2 6 2" xfId="104" xr:uid="{00000000-0005-0000-0000-000067000000}"/>
    <cellStyle name="Moeda 2 6 2 2" xfId="105" xr:uid="{00000000-0005-0000-0000-000068000000}"/>
    <cellStyle name="Moeda 2 6 3" xfId="106" xr:uid="{00000000-0005-0000-0000-000069000000}"/>
    <cellStyle name="Moeda 2 6 3 2" xfId="107" xr:uid="{00000000-0005-0000-0000-00006A000000}"/>
    <cellStyle name="Moeda 2 6 4" xfId="108" xr:uid="{00000000-0005-0000-0000-00006B000000}"/>
    <cellStyle name="Moeda 3" xfId="109" xr:uid="{00000000-0005-0000-0000-00006C000000}"/>
    <cellStyle name="Moeda 3 2" xfId="110" xr:uid="{00000000-0005-0000-0000-00006D000000}"/>
    <cellStyle name="Moeda 4" xfId="111" xr:uid="{00000000-0005-0000-0000-00006E000000}"/>
    <cellStyle name="Moeda 7" xfId="112" xr:uid="{00000000-0005-0000-0000-00006F000000}"/>
    <cellStyle name="Neutra 2" xfId="113" xr:uid="{00000000-0005-0000-0000-000070000000}"/>
    <cellStyle name="Neutra 3" xfId="114" xr:uid="{00000000-0005-0000-0000-000071000000}"/>
    <cellStyle name="Normal" xfId="0" builtinId="0"/>
    <cellStyle name="Normal 10" xfId="115" xr:uid="{00000000-0005-0000-0000-000073000000}"/>
    <cellStyle name="Normal 10 2" xfId="116" xr:uid="{00000000-0005-0000-0000-000074000000}"/>
    <cellStyle name="Normal 10 2 2" xfId="117" xr:uid="{00000000-0005-0000-0000-000075000000}"/>
    <cellStyle name="Normal 11" xfId="118" xr:uid="{00000000-0005-0000-0000-000076000000}"/>
    <cellStyle name="Normal 2" xfId="119" xr:uid="{00000000-0005-0000-0000-000077000000}"/>
    <cellStyle name="Normal 2 2" xfId="120" xr:uid="{00000000-0005-0000-0000-000078000000}"/>
    <cellStyle name="Normal 2 2 2" xfId="121" xr:uid="{00000000-0005-0000-0000-000079000000}"/>
    <cellStyle name="Normal 2 2 3" xfId="122" xr:uid="{00000000-0005-0000-0000-00007A000000}"/>
    <cellStyle name="Normal 2 3" xfId="123" xr:uid="{00000000-0005-0000-0000-00007B000000}"/>
    <cellStyle name="Normal 2 4" xfId="124" xr:uid="{00000000-0005-0000-0000-00007C000000}"/>
    <cellStyle name="Normal 3" xfId="125" xr:uid="{00000000-0005-0000-0000-00007D000000}"/>
    <cellStyle name="Normal 3 2" xfId="126" xr:uid="{00000000-0005-0000-0000-00007E000000}"/>
    <cellStyle name="Normal 3 2 4" xfId="127" xr:uid="{00000000-0005-0000-0000-00007F000000}"/>
    <cellStyle name="Normal 3 3" xfId="128" xr:uid="{00000000-0005-0000-0000-000080000000}"/>
    <cellStyle name="Normal 4" xfId="129" xr:uid="{00000000-0005-0000-0000-000081000000}"/>
    <cellStyle name="Normal 4 10" xfId="130" xr:uid="{00000000-0005-0000-0000-000082000000}"/>
    <cellStyle name="Normal 4 10 2" xfId="131" xr:uid="{00000000-0005-0000-0000-000083000000}"/>
    <cellStyle name="Normal 4 11" xfId="132" xr:uid="{00000000-0005-0000-0000-000084000000}"/>
    <cellStyle name="Normal 4 11 2" xfId="133" xr:uid="{00000000-0005-0000-0000-000085000000}"/>
    <cellStyle name="Normal 4 12" xfId="134" xr:uid="{00000000-0005-0000-0000-000086000000}"/>
    <cellStyle name="Normal 4 12 2" xfId="135" xr:uid="{00000000-0005-0000-0000-000087000000}"/>
    <cellStyle name="Normal 4 13" xfId="136" xr:uid="{00000000-0005-0000-0000-000088000000}"/>
    <cellStyle name="Normal 4 13 2" xfId="137" xr:uid="{00000000-0005-0000-0000-000089000000}"/>
    <cellStyle name="Normal 4 14" xfId="138" xr:uid="{00000000-0005-0000-0000-00008A000000}"/>
    <cellStyle name="Normal 4 14 2" xfId="139" xr:uid="{00000000-0005-0000-0000-00008B000000}"/>
    <cellStyle name="Normal 4 15" xfId="140" xr:uid="{00000000-0005-0000-0000-00008C000000}"/>
    <cellStyle name="Normal 4 15 2" xfId="141" xr:uid="{00000000-0005-0000-0000-00008D000000}"/>
    <cellStyle name="Normal 4 2" xfId="142" xr:uid="{00000000-0005-0000-0000-00008E000000}"/>
    <cellStyle name="Normal 4 2 2" xfId="143" xr:uid="{00000000-0005-0000-0000-00008F000000}"/>
    <cellStyle name="Normal 4 2 3" xfId="144" xr:uid="{00000000-0005-0000-0000-000090000000}"/>
    <cellStyle name="Normal 4 3" xfId="145" xr:uid="{00000000-0005-0000-0000-000091000000}"/>
    <cellStyle name="Normal 4 4" xfId="146" xr:uid="{00000000-0005-0000-0000-000092000000}"/>
    <cellStyle name="Normal 4 4 2" xfId="147" xr:uid="{00000000-0005-0000-0000-000093000000}"/>
    <cellStyle name="Normal 4 4 3" xfId="148" xr:uid="{00000000-0005-0000-0000-000094000000}"/>
    <cellStyle name="Normal 4 5" xfId="149" xr:uid="{00000000-0005-0000-0000-000095000000}"/>
    <cellStyle name="Normal 4 5 2" xfId="150" xr:uid="{00000000-0005-0000-0000-000096000000}"/>
    <cellStyle name="Normal 4 6" xfId="151" xr:uid="{00000000-0005-0000-0000-000097000000}"/>
    <cellStyle name="Normal 4 7" xfId="152" xr:uid="{00000000-0005-0000-0000-000098000000}"/>
    <cellStyle name="Normal 4 7 2" xfId="153" xr:uid="{00000000-0005-0000-0000-000099000000}"/>
    <cellStyle name="Normal 4 7 3" xfId="154" xr:uid="{00000000-0005-0000-0000-00009A000000}"/>
    <cellStyle name="Normal 4 8" xfId="155" xr:uid="{00000000-0005-0000-0000-00009B000000}"/>
    <cellStyle name="Normal 4 8 2" xfId="156" xr:uid="{00000000-0005-0000-0000-00009C000000}"/>
    <cellStyle name="Normal 4 9" xfId="157" xr:uid="{00000000-0005-0000-0000-00009D000000}"/>
    <cellStyle name="Normal 4__ORÇAMENTO" xfId="158" xr:uid="{00000000-0005-0000-0000-00009E000000}"/>
    <cellStyle name="Normal 5" xfId="159" xr:uid="{00000000-0005-0000-0000-00009F000000}"/>
    <cellStyle name="Normal 5 2" xfId="160" xr:uid="{00000000-0005-0000-0000-0000A0000000}"/>
    <cellStyle name="Normal 6" xfId="161" xr:uid="{00000000-0005-0000-0000-0000A1000000}"/>
    <cellStyle name="Normal 6 2" xfId="162" xr:uid="{00000000-0005-0000-0000-0000A2000000}"/>
    <cellStyle name="Normal 7" xfId="163" xr:uid="{00000000-0005-0000-0000-0000A3000000}"/>
    <cellStyle name="Normal 7 2" xfId="164" xr:uid="{00000000-0005-0000-0000-0000A4000000}"/>
    <cellStyle name="Normal 8" xfId="165" xr:uid="{00000000-0005-0000-0000-0000A5000000}"/>
    <cellStyle name="Normal 9" xfId="166" xr:uid="{00000000-0005-0000-0000-0000A6000000}"/>
    <cellStyle name="Normal_Pesquisa no referencial 10 de maio de 2013" xfId="167" xr:uid="{00000000-0005-0000-0000-0000A7000000}"/>
    <cellStyle name="Normal_Relação de material_ESTACIONAMENTO_PAF_I" xfId="168" xr:uid="{00000000-0005-0000-0000-0000A9000000}"/>
    <cellStyle name="Nota" xfId="169" builtinId="10" customBuiltin="1"/>
    <cellStyle name="Nota 2" xfId="170" xr:uid="{00000000-0005-0000-0000-0000AB000000}"/>
    <cellStyle name="Nota 3" xfId="171" xr:uid="{00000000-0005-0000-0000-0000AC000000}"/>
    <cellStyle name="Nota 4" xfId="172" xr:uid="{00000000-0005-0000-0000-0000AD000000}"/>
    <cellStyle name="Nota 5" xfId="173" xr:uid="{00000000-0005-0000-0000-0000AE000000}"/>
    <cellStyle name="Nota 5 2" xfId="174" xr:uid="{00000000-0005-0000-0000-0000AF000000}"/>
    <cellStyle name="Nota 6" xfId="175" xr:uid="{00000000-0005-0000-0000-0000B0000000}"/>
    <cellStyle name="Nota 6 2" xfId="176" xr:uid="{00000000-0005-0000-0000-0000B1000000}"/>
    <cellStyle name="Nota 6 3" xfId="177" xr:uid="{00000000-0005-0000-0000-0000B2000000}"/>
    <cellStyle name="Porcentagem" xfId="178" builtinId="5"/>
    <cellStyle name="Porcentagem 2" xfId="179" xr:uid="{00000000-0005-0000-0000-0000B4000000}"/>
    <cellStyle name="Porcentagem 3" xfId="180" xr:uid="{00000000-0005-0000-0000-0000B5000000}"/>
    <cellStyle name="Porcentagem 4" xfId="181" xr:uid="{00000000-0005-0000-0000-0000B6000000}"/>
    <cellStyle name="Saída" xfId="182" builtinId="21" customBuiltin="1"/>
    <cellStyle name="Saída 2" xfId="183" xr:uid="{00000000-0005-0000-0000-0000B8000000}"/>
    <cellStyle name="Saída 3" xfId="184" xr:uid="{00000000-0005-0000-0000-0000B9000000}"/>
    <cellStyle name="Separador de m" xfId="185" xr:uid="{00000000-0005-0000-0000-0000BA000000}"/>
    <cellStyle name="Separador de milhares 2" xfId="186" xr:uid="{00000000-0005-0000-0000-0000BC000000}"/>
    <cellStyle name="Separador de milhares 2 2" xfId="187" xr:uid="{00000000-0005-0000-0000-0000BD000000}"/>
    <cellStyle name="Separador de milhares 2 2 2" xfId="188" xr:uid="{00000000-0005-0000-0000-0000BE000000}"/>
    <cellStyle name="Separador de milhares 2 2 2 2" xfId="189" xr:uid="{00000000-0005-0000-0000-0000BF000000}"/>
    <cellStyle name="Separador de milhares 2 2 2 2 2" xfId="190" xr:uid="{00000000-0005-0000-0000-0000C0000000}"/>
    <cellStyle name="Separador de milhares 2 2 2 3" xfId="191" xr:uid="{00000000-0005-0000-0000-0000C1000000}"/>
    <cellStyle name="Separador de milhares 2 2 3" xfId="192" xr:uid="{00000000-0005-0000-0000-0000C2000000}"/>
    <cellStyle name="Separador de milhares 2 2 3 2" xfId="193" xr:uid="{00000000-0005-0000-0000-0000C3000000}"/>
    <cellStyle name="Separador de milhares 2 2 4" xfId="194" xr:uid="{00000000-0005-0000-0000-0000C4000000}"/>
    <cellStyle name="Separador de milhares 2 3" xfId="195" xr:uid="{00000000-0005-0000-0000-0000C5000000}"/>
    <cellStyle name="Separador de milhares 2 3 2" xfId="196" xr:uid="{00000000-0005-0000-0000-0000C6000000}"/>
    <cellStyle name="Separador de milhares 2 3 2 2" xfId="197" xr:uid="{00000000-0005-0000-0000-0000C7000000}"/>
    <cellStyle name="Separador de milhares 2 3 2 2 2" xfId="198" xr:uid="{00000000-0005-0000-0000-0000C8000000}"/>
    <cellStyle name="Separador de milhares 2 3 2 3" xfId="199" xr:uid="{00000000-0005-0000-0000-0000C9000000}"/>
    <cellStyle name="Separador de milhares 2 3 3" xfId="200" xr:uid="{00000000-0005-0000-0000-0000CA000000}"/>
    <cellStyle name="Separador de milhares 2 4" xfId="201" xr:uid="{00000000-0005-0000-0000-0000CB000000}"/>
    <cellStyle name="Separador de milhares 3" xfId="202" xr:uid="{00000000-0005-0000-0000-0000CC000000}"/>
    <cellStyle name="Separador de milhares 3 2" xfId="203" xr:uid="{00000000-0005-0000-0000-0000CD000000}"/>
    <cellStyle name="Separador de milhares 3 2 2" xfId="204" xr:uid="{00000000-0005-0000-0000-0000CE000000}"/>
    <cellStyle name="Separador de milhares 3 2 2 2" xfId="205" xr:uid="{00000000-0005-0000-0000-0000CF000000}"/>
    <cellStyle name="Separador de milhares 3 2 3" xfId="206" xr:uid="{00000000-0005-0000-0000-0000D0000000}"/>
    <cellStyle name="Separador de milhares 3 3" xfId="207" xr:uid="{00000000-0005-0000-0000-0000D1000000}"/>
    <cellStyle name="Separador de milhares 3 3 2" xfId="208" xr:uid="{00000000-0005-0000-0000-0000D2000000}"/>
    <cellStyle name="Separador de milhares 3 4" xfId="209" xr:uid="{00000000-0005-0000-0000-0000D3000000}"/>
    <cellStyle name="Separador de milhares 4" xfId="210" xr:uid="{00000000-0005-0000-0000-0000D4000000}"/>
    <cellStyle name="Separador de milhares 8" xfId="211" xr:uid="{00000000-0005-0000-0000-0000D5000000}"/>
    <cellStyle name="Separador de milhares 8 2" xfId="212" xr:uid="{00000000-0005-0000-0000-0000D6000000}"/>
    <cellStyle name="Separador de milhares 8 2 2" xfId="213" xr:uid="{00000000-0005-0000-0000-0000D7000000}"/>
    <cellStyle name="Separador de milhares 8 3" xfId="214" xr:uid="{00000000-0005-0000-0000-0000D8000000}"/>
    <cellStyle name="Separador de milhares 9" xfId="215" xr:uid="{00000000-0005-0000-0000-0000D9000000}"/>
    <cellStyle name="Separador de milhares 9 2" xfId="216" xr:uid="{00000000-0005-0000-0000-0000DA000000}"/>
    <cellStyle name="Separador de milhares 9 2 2" xfId="217" xr:uid="{00000000-0005-0000-0000-0000DB000000}"/>
    <cellStyle name="Separador de milhares 9 3" xfId="218" xr:uid="{00000000-0005-0000-0000-0000DC000000}"/>
    <cellStyle name="Separador de milhares 9 4" xfId="219" xr:uid="{00000000-0005-0000-0000-0000DD000000}"/>
    <cellStyle name="Separador de milhares 9 5" xfId="220" xr:uid="{00000000-0005-0000-0000-0000DE000000}"/>
    <cellStyle name="Texto de Aviso" xfId="221" builtinId="11" customBuiltin="1"/>
    <cellStyle name="Texto de Aviso 2" xfId="222" xr:uid="{00000000-0005-0000-0000-0000E0000000}"/>
    <cellStyle name="Texto de Aviso 3" xfId="223" xr:uid="{00000000-0005-0000-0000-0000E1000000}"/>
    <cellStyle name="Texto Explicativo" xfId="224" builtinId="53" customBuiltin="1"/>
    <cellStyle name="Texto Explicativo 2" xfId="225" xr:uid="{00000000-0005-0000-0000-0000E3000000}"/>
    <cellStyle name="Texto Explicativo 3" xfId="226" xr:uid="{00000000-0005-0000-0000-0000E4000000}"/>
    <cellStyle name="Título" xfId="227" builtinId="15" customBuiltin="1"/>
    <cellStyle name="Título 1" xfId="228" builtinId="16" customBuiltin="1"/>
    <cellStyle name="Título 1 2" xfId="229" xr:uid="{00000000-0005-0000-0000-0000E7000000}"/>
    <cellStyle name="Título 1 3" xfId="230" xr:uid="{00000000-0005-0000-0000-0000E8000000}"/>
    <cellStyle name="Título 2" xfId="231" builtinId="17" customBuiltin="1"/>
    <cellStyle name="Título 2 2" xfId="232" xr:uid="{00000000-0005-0000-0000-0000EA000000}"/>
    <cellStyle name="Título 2 3" xfId="233" xr:uid="{00000000-0005-0000-0000-0000EB000000}"/>
    <cellStyle name="Título 3" xfId="234" builtinId="18" customBuiltin="1"/>
    <cellStyle name="Título 3 2" xfId="235" xr:uid="{00000000-0005-0000-0000-0000ED000000}"/>
    <cellStyle name="Título 3 3" xfId="236" xr:uid="{00000000-0005-0000-0000-0000EE000000}"/>
    <cellStyle name="Título 4" xfId="237" builtinId="19" customBuiltin="1"/>
    <cellStyle name="Título 4 2" xfId="238" xr:uid="{00000000-0005-0000-0000-0000F0000000}"/>
    <cellStyle name="Título 4 3" xfId="239" xr:uid="{00000000-0005-0000-0000-0000F1000000}"/>
    <cellStyle name="Título 5" xfId="240" xr:uid="{00000000-0005-0000-0000-0000F2000000}"/>
    <cellStyle name="Título 5 2" xfId="241" xr:uid="{00000000-0005-0000-0000-0000F3000000}"/>
    <cellStyle name="Título 5 3" xfId="242" xr:uid="{00000000-0005-0000-0000-0000F4000000}"/>
    <cellStyle name="Título 6" xfId="243" xr:uid="{00000000-0005-0000-0000-0000F5000000}"/>
    <cellStyle name="Título 7" xfId="244" xr:uid="{00000000-0005-0000-0000-0000F6000000}"/>
    <cellStyle name="Título 8" xfId="245" xr:uid="{00000000-0005-0000-0000-0000F7000000}"/>
    <cellStyle name="Total" xfId="246" builtinId="25" customBuiltin="1"/>
    <cellStyle name="Total 2" xfId="247" xr:uid="{00000000-0005-0000-0000-0000F9000000}"/>
    <cellStyle name="Total 3" xfId="248" xr:uid="{00000000-0005-0000-0000-0000FA000000}"/>
    <cellStyle name="Vírgula" xfId="249" builtinId="3"/>
    <cellStyle name="Vírgula 2" xfId="250" xr:uid="{00000000-0005-0000-0000-0000FB000000}"/>
    <cellStyle name="Vírgula 2 2" xfId="251" xr:uid="{00000000-0005-0000-0000-0000FC000000}"/>
    <cellStyle name="Vírgula 2 2 2" xfId="252" xr:uid="{00000000-0005-0000-0000-0000FD000000}"/>
    <cellStyle name="Vírgula 2 2 2 2" xfId="253" xr:uid="{00000000-0005-0000-0000-0000FE000000}"/>
    <cellStyle name="Vírgula 2 2 3" xfId="254" xr:uid="{00000000-0005-0000-0000-0000FF000000}"/>
    <cellStyle name="Vírgula 2 2 4" xfId="255" xr:uid="{00000000-0005-0000-0000-000000010000}"/>
    <cellStyle name="Vírgula 2 2 5" xfId="256" xr:uid="{00000000-0005-0000-0000-000001010000}"/>
    <cellStyle name="Vírgula 2 3" xfId="257" xr:uid="{00000000-0005-0000-0000-000002010000}"/>
    <cellStyle name="Vírgula 2 4" xfId="258" xr:uid="{00000000-0005-0000-0000-000003010000}"/>
    <cellStyle name="Vírgula 2 4 2" xfId="259" xr:uid="{00000000-0005-0000-0000-000004010000}"/>
    <cellStyle name="Vírgula 2 4 2 2" xfId="260" xr:uid="{00000000-0005-0000-0000-000005010000}"/>
    <cellStyle name="Vírgula 2 4 2 2 2" xfId="261" xr:uid="{00000000-0005-0000-0000-000006010000}"/>
    <cellStyle name="Vírgula 2 4 2 3" xfId="262" xr:uid="{00000000-0005-0000-0000-000007010000}"/>
    <cellStyle name="Vírgula 2 4 3" xfId="263" xr:uid="{00000000-0005-0000-0000-000008010000}"/>
    <cellStyle name="Vírgula 2 4 3 2" xfId="264" xr:uid="{00000000-0005-0000-0000-000009010000}"/>
    <cellStyle name="Vírgula 2 4 4" xfId="265" xr:uid="{00000000-0005-0000-0000-00000A010000}"/>
    <cellStyle name="Vírgula 2 5" xfId="266" xr:uid="{00000000-0005-0000-0000-00000B010000}"/>
    <cellStyle name="Vírgula 2 5 2" xfId="267" xr:uid="{00000000-0005-0000-0000-00000C010000}"/>
    <cellStyle name="Vírgula 2 5 2 2" xfId="268" xr:uid="{00000000-0005-0000-0000-00000D010000}"/>
    <cellStyle name="Vírgula 2 5 2 2 2" xfId="269" xr:uid="{00000000-0005-0000-0000-00000E010000}"/>
    <cellStyle name="Vírgula 2 5 2 3" xfId="270" xr:uid="{00000000-0005-0000-0000-00000F010000}"/>
    <cellStyle name="Vírgula 2 5 3" xfId="271" xr:uid="{00000000-0005-0000-0000-000010010000}"/>
    <cellStyle name="Vírgula 2 5 3 2" xfId="272" xr:uid="{00000000-0005-0000-0000-000011010000}"/>
    <cellStyle name="Vírgula 2 5 3 2 2" xfId="273" xr:uid="{00000000-0005-0000-0000-000012010000}"/>
    <cellStyle name="Vírgula 2 5 3 3" xfId="274" xr:uid="{00000000-0005-0000-0000-000013010000}"/>
    <cellStyle name="Vírgula 2 5 4" xfId="275" xr:uid="{00000000-0005-0000-0000-000014010000}"/>
    <cellStyle name="Vírgula 2 5 4 2" xfId="276" xr:uid="{00000000-0005-0000-0000-000015010000}"/>
    <cellStyle name="Vírgula 2 5 5" xfId="277" xr:uid="{00000000-0005-0000-0000-000016010000}"/>
    <cellStyle name="Vírgula 3" xfId="278" xr:uid="{00000000-0005-0000-0000-000017010000}"/>
    <cellStyle name="Vírgula 3 2" xfId="279" xr:uid="{00000000-0005-0000-0000-000018010000}"/>
    <cellStyle name="Vírgula 3 2 2" xfId="280" xr:uid="{00000000-0005-0000-0000-000019010000}"/>
    <cellStyle name="Vírgula 3 2 2 2" xfId="281" xr:uid="{00000000-0005-0000-0000-00001A010000}"/>
    <cellStyle name="Vírgula 3 2 2 2 2" xfId="282" xr:uid="{00000000-0005-0000-0000-00001B010000}"/>
    <cellStyle name="Vírgula 3 2 2 2 2 2" xfId="283" xr:uid="{00000000-0005-0000-0000-00001C010000}"/>
    <cellStyle name="Vírgula 3 2 2 2 2 2 2" xfId="284" xr:uid="{00000000-0005-0000-0000-00001D010000}"/>
    <cellStyle name="Vírgula 3 2 2 2 2 3" xfId="285" xr:uid="{00000000-0005-0000-0000-00001E010000}"/>
    <cellStyle name="Vírgula 3 2 2 2 3" xfId="286" xr:uid="{00000000-0005-0000-0000-00001F010000}"/>
    <cellStyle name="Vírgula 3 2 2 2 3 2" xfId="287" xr:uid="{00000000-0005-0000-0000-000020010000}"/>
    <cellStyle name="Vírgula 3 2 2 3" xfId="288" xr:uid="{00000000-0005-0000-0000-000021010000}"/>
    <cellStyle name="Vírgula 3 2 2 3 2" xfId="289" xr:uid="{00000000-0005-0000-0000-000022010000}"/>
    <cellStyle name="Vírgula 3 2 2 3 2 2" xfId="290" xr:uid="{00000000-0005-0000-0000-000023010000}"/>
    <cellStyle name="Vírgula 3 2 2 4" xfId="291" xr:uid="{00000000-0005-0000-0000-000024010000}"/>
    <cellStyle name="Vírgula 3 2 2 4 2" xfId="292" xr:uid="{00000000-0005-0000-0000-000025010000}"/>
    <cellStyle name="Vírgula 3 2 2 5" xfId="293" xr:uid="{00000000-0005-0000-0000-000026010000}"/>
    <cellStyle name="Vírgula 3 2 3" xfId="294" xr:uid="{00000000-0005-0000-0000-000027010000}"/>
    <cellStyle name="Vírgula 3 2 3 2" xfId="295" xr:uid="{00000000-0005-0000-0000-000028010000}"/>
    <cellStyle name="Vírgula 3 2 3 2 2" xfId="296" xr:uid="{00000000-0005-0000-0000-000029010000}"/>
    <cellStyle name="Vírgula 3 2 3 3" xfId="297" xr:uid="{00000000-0005-0000-0000-00002A010000}"/>
    <cellStyle name="Vírgula 3 2 4" xfId="298" xr:uid="{00000000-0005-0000-0000-00002B010000}"/>
    <cellStyle name="Vírgula 3 2 4 2" xfId="299" xr:uid="{00000000-0005-0000-0000-00002C010000}"/>
    <cellStyle name="Vírgula 3 2 4 2 2" xfId="300" xr:uid="{00000000-0005-0000-0000-00002D010000}"/>
    <cellStyle name="Vírgula 3 2 4 2 2 2" xfId="301" xr:uid="{00000000-0005-0000-0000-00002E010000}"/>
    <cellStyle name="Vírgula 3 2 4 3" xfId="302" xr:uid="{00000000-0005-0000-0000-00002F010000}"/>
    <cellStyle name="Vírgula 3 2 4 3 2" xfId="303" xr:uid="{00000000-0005-0000-0000-000030010000}"/>
    <cellStyle name="Vírgula 3 2 5" xfId="304" xr:uid="{00000000-0005-0000-0000-000031010000}"/>
    <cellStyle name="Vírgula 3 2 5 2" xfId="305" xr:uid="{00000000-0005-0000-0000-000032010000}"/>
    <cellStyle name="Vírgula 3 2 6" xfId="306" xr:uid="{00000000-0005-0000-0000-000033010000}"/>
    <cellStyle name="Vírgula 3 3" xfId="307" xr:uid="{00000000-0005-0000-0000-000034010000}"/>
    <cellStyle name="Vírgula 3 3 2" xfId="308" xr:uid="{00000000-0005-0000-0000-000035010000}"/>
    <cellStyle name="Vírgula 3 4" xfId="309" xr:uid="{00000000-0005-0000-0000-000036010000}"/>
    <cellStyle name="Vírgula 4" xfId="310" xr:uid="{00000000-0005-0000-0000-000037010000}"/>
    <cellStyle name="Vírgula 4 2" xfId="311" xr:uid="{00000000-0005-0000-0000-000038010000}"/>
    <cellStyle name="Vírgula 4 2 2" xfId="312" xr:uid="{00000000-0005-0000-0000-000039010000}"/>
    <cellStyle name="Vírgula 4 2 2 2" xfId="313" xr:uid="{00000000-0005-0000-0000-00003A010000}"/>
    <cellStyle name="Vírgula 4 2 2 3" xfId="314" xr:uid="{00000000-0005-0000-0000-00003B010000}"/>
    <cellStyle name="Vírgula 4 2 3" xfId="315" xr:uid="{00000000-0005-0000-0000-00003C010000}"/>
    <cellStyle name="Vírgula 4 3" xfId="316" xr:uid="{00000000-0005-0000-0000-00003D010000}"/>
    <cellStyle name="Vírgula 4 3 2" xfId="317" xr:uid="{00000000-0005-0000-0000-00003E010000}"/>
    <cellStyle name="Vírgula 4 4" xfId="318" xr:uid="{00000000-0005-0000-0000-00003F010000}"/>
    <cellStyle name="Vírgula 5" xfId="319" xr:uid="{00000000-0005-0000-0000-000040010000}"/>
    <cellStyle name="Vírgula 5 2" xfId="320" xr:uid="{00000000-0005-0000-0000-000041010000}"/>
    <cellStyle name="Vírgula 5 2 2" xfId="321" xr:uid="{00000000-0005-0000-0000-000042010000}"/>
    <cellStyle name="Vírgula 5 3" xfId="322" xr:uid="{00000000-0005-0000-0000-000043010000}"/>
    <cellStyle name="Vírgula 6" xfId="323" xr:uid="{00000000-0005-0000-0000-000044010000}"/>
    <cellStyle name="Vírgula 6 2" xfId="324" xr:uid="{00000000-0005-0000-0000-000045010000}"/>
    <cellStyle name="Vírgula 6 2 2" xfId="325" xr:uid="{00000000-0005-0000-0000-000046010000}"/>
    <cellStyle name="Vírgula 6 2 2 2" xfId="326" xr:uid="{00000000-0005-0000-0000-000047010000}"/>
    <cellStyle name="Vírgula 6 2 2 2 2" xfId="327" xr:uid="{00000000-0005-0000-0000-000048010000}"/>
    <cellStyle name="Vírgula 6 2 2 3" xfId="328" xr:uid="{00000000-0005-0000-0000-000049010000}"/>
    <cellStyle name="Vírgula 6 2 3" xfId="329" xr:uid="{00000000-0005-0000-0000-00004A010000}"/>
    <cellStyle name="Vírgula 6 2 3 2" xfId="330" xr:uid="{00000000-0005-0000-0000-00004B010000}"/>
    <cellStyle name="Vírgula 6 2 4" xfId="331" xr:uid="{00000000-0005-0000-0000-00004C010000}"/>
    <cellStyle name="Vírgula 6 3" xfId="332" xr:uid="{00000000-0005-0000-0000-00004D010000}"/>
    <cellStyle name="Vírgula 6 3 2" xfId="333" xr:uid="{00000000-0005-0000-0000-00004E010000}"/>
    <cellStyle name="Vírgula 6 3 2 2" xfId="334" xr:uid="{00000000-0005-0000-0000-00004F010000}"/>
    <cellStyle name="Vírgula 6 3 3" xfId="335" xr:uid="{00000000-0005-0000-0000-000050010000}"/>
    <cellStyle name="Vírgula 6 4" xfId="336" xr:uid="{00000000-0005-0000-0000-000051010000}"/>
    <cellStyle name="Vírgula 6 4 2" xfId="337" xr:uid="{00000000-0005-0000-0000-000052010000}"/>
    <cellStyle name="Vírgula 6 5" xfId="338" xr:uid="{00000000-0005-0000-0000-000053010000}"/>
    <cellStyle name="Vírgula 6 6" xfId="339" xr:uid="{00000000-0005-0000-0000-000054010000}"/>
    <cellStyle name="Vírgula 6 7" xfId="340" xr:uid="{00000000-0005-0000-0000-000055010000}"/>
    <cellStyle name="Vírgula 7" xfId="341" xr:uid="{00000000-0005-0000-0000-000056010000}"/>
    <cellStyle name="Vírgula 7 2" xfId="342" xr:uid="{00000000-0005-0000-0000-000057010000}"/>
    <cellStyle name="Vírgula 7 2 2" xfId="343" xr:uid="{00000000-0005-0000-0000-000058010000}"/>
    <cellStyle name="Vírgula 7 2 2 2" xfId="344" xr:uid="{00000000-0005-0000-0000-000059010000}"/>
    <cellStyle name="Vírgula 7 2 3" xfId="345" xr:uid="{00000000-0005-0000-0000-00005A010000}"/>
    <cellStyle name="Vírgula 7 3" xfId="346" xr:uid="{00000000-0005-0000-0000-00005B010000}"/>
    <cellStyle name="Vírgula 7 3 2" xfId="347" xr:uid="{00000000-0005-0000-0000-00005C010000}"/>
    <cellStyle name="Vírgula 7 3 2 2" xfId="348" xr:uid="{00000000-0005-0000-0000-00005D010000}"/>
    <cellStyle name="Vírgula 7 3 3" xfId="349" xr:uid="{00000000-0005-0000-0000-00005E010000}"/>
    <cellStyle name="Vírgula 7 4" xfId="350" xr:uid="{00000000-0005-0000-0000-00005F010000}"/>
    <cellStyle name="Vírgula 7 4 2" xfId="351" xr:uid="{00000000-0005-0000-0000-000060010000}"/>
    <cellStyle name="Vírgula 7 5" xfId="352" xr:uid="{00000000-0005-0000-0000-000061010000}"/>
    <cellStyle name="Vírgula 8" xfId="353" xr:uid="{00000000-0005-0000-0000-000062010000}"/>
    <cellStyle name="Vírgula 8 2" xfId="354" xr:uid="{00000000-0005-0000-0000-000063010000}"/>
    <cellStyle name="Vírgula 8 3" xfId="355" xr:uid="{00000000-0005-0000-0000-000064010000}"/>
    <cellStyle name="Vírgula 9" xfId="356" xr:uid="{00000000-0005-0000-0000-000065010000}"/>
  </cellStyles>
  <dxfs count="32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HISTOGRAMA DA DISPONIBILIZAÇÃO DE RECURSOS</a:t>
            </a:r>
          </a:p>
        </c:rich>
      </c:tx>
      <c:layout>
        <c:manualLayout>
          <c:xMode val="edge"/>
          <c:yMode val="edge"/>
          <c:x val="0.36875009911135237"/>
          <c:y val="3.03030820334450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8728881548247294E-2"/>
          <c:y val="0.16673635387299215"/>
          <c:w val="0.96500339308399685"/>
          <c:h val="0.79109324148206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90"/>
              </a:solidFill>
              <a:prstDash val="solid"/>
            </a:ln>
          </c:spPr>
          <c:marker>
            <c:symbol val="none"/>
          </c:marker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Black"/>
                    <a:ea typeface="Arial Black"/>
                    <a:cs typeface="Arial Black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CRONOGRAMA!$Q$11:$Q$14</c:f>
              <c:numCache>
                <c:formatCode>_(* #,##0.00_);_(* \(#,##0.00\);_(* "-"??_);_(@_)</c:formatCode>
                <c:ptCount val="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3E-4B29-89A1-297A432E3EDF}"/>
            </c:ext>
          </c:extLst>
        </c:ser>
        <c:ser>
          <c:idx val="1"/>
          <c:order val="1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CRONOGRAMA!$R$11:$R$14</c:f>
              <c:numCache>
                <c:formatCode>_(* #,##0.00_);_(* \(#,##0.00\);_(* "-"??_);_(@_)</c:formatCode>
                <c:ptCount val="4"/>
                <c:pt idx="0">
                  <c:v>81181.728516997217</c:v>
                </c:pt>
                <c:pt idx="1">
                  <c:v>104325.05931412661</c:v>
                </c:pt>
                <c:pt idx="2">
                  <c:v>313754.68975452264</c:v>
                </c:pt>
                <c:pt idx="3">
                  <c:v>77976.9157239099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1F-431F-B275-7CDB1B3D2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60"/>
          <c:upBars>
            <c:spPr>
              <a:gradFill rotWithShape="0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r="100000" b="100000"/>
                </a:path>
              </a:gradFill>
              <a:ln w="3175">
                <a:solidFill>
                  <a:srgbClr val="C0C0C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109356160"/>
        <c:axId val="109357696"/>
      </c:lineChart>
      <c:catAx>
        <c:axId val="10935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09357696"/>
        <c:crossesAt val="0"/>
        <c:auto val="0"/>
        <c:lblAlgn val="ctr"/>
        <c:lblOffset val="100"/>
        <c:noMultiLvlLbl val="0"/>
      </c:catAx>
      <c:valAx>
        <c:axId val="109357696"/>
        <c:scaling>
          <c:orientation val="minMax"/>
          <c:max val="500000"/>
          <c:min val="0"/>
        </c:scaling>
        <c:delete val="1"/>
        <c:axPos val="l"/>
        <c:numFmt formatCode="_(* #,##0.00_);_(* \(#,##0.00\);_(* &quot;-&quot;??_);_(@_)" sourceLinked="1"/>
        <c:majorTickMark val="out"/>
        <c:minorTickMark val="none"/>
        <c:tickLblPos val="nextTo"/>
        <c:crossAx val="109356160"/>
        <c:crosses val="autoZero"/>
        <c:crossBetween val="between"/>
        <c:majorUnit val="100000"/>
        <c:minorUnit val="20000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899999989" l="0.78740157499999996" r="0.78740157499999996" t="0.98425196899999989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PERCENTUAIS DOS SERVIÇOS</a:t>
            </a:r>
          </a:p>
        </c:rich>
      </c:tx>
      <c:layout>
        <c:manualLayout>
          <c:xMode val="edge"/>
          <c:yMode val="edge"/>
          <c:x val="0.42297193620028267"/>
          <c:y val="2.7597499679628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8098945522641E-3"/>
          <c:y val="0.13452617400303421"/>
          <c:w val="0.98365286238481431"/>
          <c:h val="0.756912328426710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8100">
              <a:solidFill>
                <a:srgbClr val="000000"/>
              </a:solidFill>
              <a:prstDash val="lgDash"/>
            </a:ln>
          </c:spPr>
          <c:invertIfNegative val="0"/>
          <c:dLbls>
            <c:spPr>
              <a:gradFill rotWithShape="0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/>
              </a:gradFill>
              <a:ln w="25400">
                <a:solidFill>
                  <a:srgbClr val="99CCFF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CRONOGRAMA!$B$11:$B$15</c:f>
              <c:strCache>
                <c:ptCount val="5"/>
                <c:pt idx="0">
                  <c:v>MOBILIZAÇÃO E SERVIÇOS PRELIMINARES</c:v>
                </c:pt>
                <c:pt idx="1">
                  <c:v>PAVIMENTAÇÃO</c:v>
                </c:pt>
                <c:pt idx="2">
                  <c:v>INSTALAÇÕES ELÉTRICAS</c:v>
                </c:pt>
                <c:pt idx="3">
                  <c:v>SERVIÇOS FINAIS E DESMOBILIZAÇÃO</c:v>
                </c:pt>
                <c:pt idx="4">
                  <c:v>EQUIPAMENTOS</c:v>
                </c:pt>
              </c:strCache>
            </c:strRef>
          </c:cat>
          <c:val>
            <c:numRef>
              <c:f>CRONOGRAMA!$D$11:$D$15</c:f>
              <c:numCache>
                <c:formatCode>0.00%</c:formatCode>
                <c:ptCount val="5"/>
                <c:pt idx="0">
                  <c:v>1.7641185371637357E-2</c:v>
                </c:pt>
                <c:pt idx="1">
                  <c:v>0.25610958117406379</c:v>
                </c:pt>
                <c:pt idx="2">
                  <c:v>0.27130528647541313</c:v>
                </c:pt>
                <c:pt idx="3">
                  <c:v>1.2780610377805689E-2</c:v>
                </c:pt>
                <c:pt idx="4">
                  <c:v>0.31763116612667031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B-4AB1-BF61-9CFE76CBB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78461184"/>
        <c:axId val="78475264"/>
      </c:barChart>
      <c:catAx>
        <c:axId val="7846118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78475264"/>
        <c:crosses val="autoZero"/>
        <c:auto val="1"/>
        <c:lblAlgn val="ctr"/>
        <c:lblOffset val="100"/>
        <c:noMultiLvlLbl val="0"/>
      </c:catAx>
      <c:valAx>
        <c:axId val="78475264"/>
        <c:scaling>
          <c:orientation val="minMax"/>
        </c:scaling>
        <c:delete val="1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crossAx val="78461184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CURVA S
</a:t>
            </a:r>
          </a:p>
        </c:rich>
      </c:tx>
      <c:layout>
        <c:manualLayout>
          <c:xMode val="edge"/>
          <c:yMode val="edge"/>
          <c:x val="0.42297189699681875"/>
          <c:y val="2.75973909566032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518098945522641E-3"/>
          <c:y val="0.13452617400303421"/>
          <c:w val="0.98365286238481431"/>
          <c:h val="0.7569123284267106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dLbls>
            <c:spPr>
              <a:gradFill rotWithShape="0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/>
              </a:gradFill>
              <a:ln w="25400">
                <a:solidFill>
                  <a:srgbClr val="99CCFF"/>
                </a:solidFill>
                <a:prstDash val="solid"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CRONOGRAMA!$R$11</c:f>
              <c:numCache>
                <c:formatCode>_(* #,##0.00_);_(* \(#,##0.00\);_(* "-"??_);_(@_)</c:formatCode>
                <c:ptCount val="1"/>
                <c:pt idx="0">
                  <c:v>81181.728516997217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8A-4128-B08E-7851CC579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486912"/>
        <c:axId val="78509184"/>
      </c:lineChart>
      <c:catAx>
        <c:axId val="78486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400" b="1" i="1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78509184"/>
        <c:crosses val="autoZero"/>
        <c:auto val="1"/>
        <c:lblAlgn val="ctr"/>
        <c:lblOffset val="100"/>
        <c:noMultiLvlLbl val="0"/>
      </c:catAx>
      <c:valAx>
        <c:axId val="78509184"/>
        <c:scaling>
          <c:orientation val="minMax"/>
        </c:scaling>
        <c:delete val="1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crossAx val="78486912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89" l="0.78740157499999996" r="0.78740157499999996" t="0.98425196899999989" header="0.4921259850000001" footer="0.492125985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721177</xdr:colOff>
      <xdr:row>0</xdr:row>
      <xdr:rowOff>95250</xdr:rowOff>
    </xdr:from>
    <xdr:to>
      <xdr:col>6</xdr:col>
      <xdr:colOff>747032</xdr:colOff>
      <xdr:row>4</xdr:row>
      <xdr:rowOff>12613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58D703F-358B-4F73-ACDC-1DBF8792D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3570" y="95250"/>
          <a:ext cx="1700894" cy="78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88900</xdr:colOff>
      <xdr:row>0</xdr:row>
      <xdr:rowOff>127000</xdr:rowOff>
    </xdr:from>
    <xdr:to>
      <xdr:col>7</xdr:col>
      <xdr:colOff>920750</xdr:colOff>
      <xdr:row>4</xdr:row>
      <xdr:rowOff>42437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A4CAC2A-E742-42CA-81EB-D18332F1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27000"/>
          <a:ext cx="1790700" cy="82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25</xdr:row>
      <xdr:rowOff>133350</xdr:rowOff>
    </xdr:from>
    <xdr:to>
      <xdr:col>13</xdr:col>
      <xdr:colOff>857249</xdr:colOff>
      <xdr:row>46</xdr:row>
      <xdr:rowOff>85725</xdr:rowOff>
    </xdr:to>
    <xdr:graphicFrame macro="">
      <xdr:nvGraphicFramePr>
        <xdr:cNvPr id="25905580" name="Chart 7">
          <a:extLst>
            <a:ext uri="{FF2B5EF4-FFF2-40B4-BE49-F238E27FC236}">
              <a16:creationId xmlns:a16="http://schemas.microsoft.com/office/drawing/2014/main" id="{9D7EC50C-2E91-4164-B1C2-499BAA41C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40821</xdr:colOff>
      <xdr:row>57</xdr:row>
      <xdr:rowOff>149679</xdr:rowOff>
    </xdr:from>
    <xdr:to>
      <xdr:col>13</xdr:col>
      <xdr:colOff>1211036</xdr:colOff>
      <xdr:row>90</xdr:row>
      <xdr:rowOff>114301</xdr:rowOff>
    </xdr:to>
    <xdr:graphicFrame macro="">
      <xdr:nvGraphicFramePr>
        <xdr:cNvPr id="25905581" name="Gráfico 4">
          <a:extLst>
            <a:ext uri="{FF2B5EF4-FFF2-40B4-BE49-F238E27FC236}">
              <a16:creationId xmlns:a16="http://schemas.microsoft.com/office/drawing/2014/main" id="{D4D2B028-A59F-4796-B99D-2A787AE9FF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104</xdr:row>
      <xdr:rowOff>76200</xdr:rowOff>
    </xdr:from>
    <xdr:to>
      <xdr:col>13</xdr:col>
      <xdr:colOff>1265463</xdr:colOff>
      <xdr:row>136</xdr:row>
      <xdr:rowOff>133350</xdr:rowOff>
    </xdr:to>
    <xdr:graphicFrame macro="">
      <xdr:nvGraphicFramePr>
        <xdr:cNvPr id="25905582" name="Gráfico 4">
          <a:extLst>
            <a:ext uri="{FF2B5EF4-FFF2-40B4-BE49-F238E27FC236}">
              <a16:creationId xmlns:a16="http://schemas.microsoft.com/office/drawing/2014/main" id="{BFE860BE-A731-4875-AFEF-BAEF939992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7</xdr:col>
      <xdr:colOff>1050552</xdr:colOff>
      <xdr:row>0</xdr:row>
      <xdr:rowOff>196104</xdr:rowOff>
    </xdr:from>
    <xdr:to>
      <xdr:col>9</xdr:col>
      <xdr:colOff>740149</xdr:colOff>
      <xdr:row>3</xdr:row>
      <xdr:rowOff>31419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FFC3C26-08C7-48B7-867B-8E99B0181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73603" y="196104"/>
          <a:ext cx="1790700" cy="829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471448</xdr:colOff>
      <xdr:row>51</xdr:row>
      <xdr:rowOff>46023</xdr:rowOff>
    </xdr:from>
    <xdr:to>
      <xdr:col>13</xdr:col>
      <xdr:colOff>52188</xdr:colOff>
      <xdr:row>54</xdr:row>
      <xdr:rowOff>7405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55387EC-52D7-4AA1-9F57-BCCF96C2A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0591" y="13163309"/>
          <a:ext cx="1785097" cy="84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354187</xdr:colOff>
      <xdr:row>95</xdr:row>
      <xdr:rowOff>57630</xdr:rowOff>
    </xdr:from>
    <xdr:to>
      <xdr:col>13</xdr:col>
      <xdr:colOff>1129954</xdr:colOff>
      <xdr:row>97</xdr:row>
      <xdr:rowOff>187099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742B3F7A-9C8E-4A0B-8987-7BE65A20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0758" y="21761023"/>
          <a:ext cx="1782696" cy="837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161925</xdr:rowOff>
    </xdr:from>
    <xdr:to>
      <xdr:col>12</xdr:col>
      <xdr:colOff>666750</xdr:colOff>
      <xdr:row>3</xdr:row>
      <xdr:rowOff>63190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3060BFB-77CE-4614-9398-0E6292E2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61925"/>
          <a:ext cx="1266825" cy="587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0</xdr:row>
      <xdr:rowOff>104775</xdr:rowOff>
    </xdr:from>
    <xdr:to>
      <xdr:col>7</xdr:col>
      <xdr:colOff>209550</xdr:colOff>
      <xdr:row>3</xdr:row>
      <xdr:rowOff>25090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AFC81FE-2539-433A-A804-5745BC1D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04775"/>
          <a:ext cx="1266825" cy="587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0</xdr:row>
      <xdr:rowOff>104775</xdr:rowOff>
    </xdr:from>
    <xdr:to>
      <xdr:col>7</xdr:col>
      <xdr:colOff>209550</xdr:colOff>
      <xdr:row>3</xdr:row>
      <xdr:rowOff>25090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1B8A45F-FCDA-43B8-916B-0EB0FC997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104775"/>
          <a:ext cx="1266825" cy="587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1"/>
  <sheetViews>
    <sheetView showZeros="0" tabSelected="1" topLeftCell="A109" zoomScale="75" zoomScaleNormal="75" zoomScaleSheetLayoutView="75" workbookViewId="0">
      <selection activeCell="B121" sqref="B121"/>
    </sheetView>
  </sheetViews>
  <sheetFormatPr defaultColWidth="15.7109375" defaultRowHeight="12.75" x14ac:dyDescent="0.2"/>
  <cols>
    <col min="1" max="1" width="8.7109375" style="284" customWidth="1"/>
    <col min="2" max="2" width="31.140625" style="13" customWidth="1"/>
    <col min="3" max="3" width="100.85546875" style="14" customWidth="1"/>
    <col min="4" max="4" width="9.85546875" style="15" customWidth="1"/>
    <col min="5" max="5" width="9.5703125" style="15" customWidth="1"/>
    <col min="6" max="6" width="14.28515625" style="6" customWidth="1"/>
    <col min="7" max="7" width="21.42578125" style="6" customWidth="1"/>
    <col min="8" max="8" width="15.7109375" style="394"/>
    <col min="9" max="16384" width="15.7109375" style="10"/>
  </cols>
  <sheetData>
    <row r="1" spans="1:10" s="41" customFormat="1" ht="20.25" x14ac:dyDescent="0.25">
      <c r="A1" s="534" t="s">
        <v>163</v>
      </c>
      <c r="B1" s="535"/>
      <c r="C1" s="535"/>
      <c r="D1" s="535"/>
      <c r="E1" s="535"/>
      <c r="F1" s="51"/>
      <c r="G1" s="52"/>
      <c r="H1" s="393"/>
    </row>
    <row r="2" spans="1:10" s="41" customFormat="1" ht="15.75" customHeight="1" x14ac:dyDescent="0.25">
      <c r="A2" s="536" t="s">
        <v>164</v>
      </c>
      <c r="B2" s="537"/>
      <c r="C2" s="537"/>
      <c r="D2" s="537"/>
      <c r="E2" s="537"/>
      <c r="F2" s="42"/>
      <c r="G2" s="43"/>
      <c r="H2" s="393"/>
    </row>
    <row r="3" spans="1:10" s="41" customFormat="1" ht="15.75" customHeight="1" x14ac:dyDescent="0.25">
      <c r="A3" s="319"/>
      <c r="B3" s="320"/>
      <c r="C3" s="320"/>
      <c r="D3" s="320"/>
      <c r="E3" s="320"/>
      <c r="F3" s="42"/>
      <c r="G3" s="43"/>
      <c r="H3" s="393"/>
    </row>
    <row r="4" spans="1:10" s="41" customFormat="1" ht="15.75" customHeight="1" x14ac:dyDescent="0.25">
      <c r="A4" s="319"/>
      <c r="B4" s="320"/>
      <c r="C4" s="320"/>
      <c r="D4" s="320"/>
      <c r="E4" s="320"/>
      <c r="F4" s="42"/>
      <c r="G4" s="43"/>
      <c r="H4" s="393"/>
    </row>
    <row r="5" spans="1:10" s="41" customFormat="1" ht="15.75" customHeight="1" x14ac:dyDescent="0.25">
      <c r="A5" s="538"/>
      <c r="B5" s="539"/>
      <c r="C5" s="539"/>
      <c r="D5" s="539"/>
      <c r="E5" s="285"/>
      <c r="F5" s="8"/>
      <c r="G5" s="43"/>
      <c r="H5" s="393"/>
    </row>
    <row r="6" spans="1:10" s="41" customFormat="1" ht="15.75" x14ac:dyDescent="0.25">
      <c r="A6" s="87" t="s">
        <v>6</v>
      </c>
      <c r="B6" s="428"/>
      <c r="C6" s="1"/>
      <c r="D6" s="2" t="s">
        <v>8</v>
      </c>
      <c r="E6" s="286"/>
      <c r="F6" s="8" t="s">
        <v>102</v>
      </c>
      <c r="G6" s="43"/>
      <c r="H6" s="393"/>
    </row>
    <row r="7" spans="1:10" s="41" customFormat="1" ht="40.5" customHeight="1" x14ac:dyDescent="0.25">
      <c r="A7" s="546" t="s">
        <v>250</v>
      </c>
      <c r="B7" s="547"/>
      <c r="C7" s="547"/>
      <c r="D7" s="549" t="s">
        <v>586</v>
      </c>
      <c r="E7" s="549"/>
      <c r="F7" s="9">
        <f ca="1">NOW()</f>
        <v>44474.611615624999</v>
      </c>
      <c r="G7" s="43"/>
      <c r="H7" s="393"/>
    </row>
    <row r="8" spans="1:10" ht="15.75" customHeight="1" x14ac:dyDescent="0.25">
      <c r="A8" s="550" t="s">
        <v>7</v>
      </c>
      <c r="B8" s="551"/>
      <c r="C8" s="551"/>
      <c r="D8" s="548" t="s">
        <v>159</v>
      </c>
      <c r="E8" s="548"/>
      <c r="F8" s="3"/>
      <c r="G8" s="11"/>
    </row>
    <row r="9" spans="1:10" ht="24.75" customHeight="1" thickBot="1" x14ac:dyDescent="0.3">
      <c r="A9" s="540" t="s">
        <v>249</v>
      </c>
      <c r="B9" s="541"/>
      <c r="C9" s="541"/>
      <c r="D9" s="542"/>
      <c r="E9" s="542"/>
      <c r="F9" s="4"/>
      <c r="G9" s="12"/>
    </row>
    <row r="10" spans="1:10" s="41" customFormat="1" ht="16.5" customHeight="1" thickBot="1" x14ac:dyDescent="0.25">
      <c r="A10" s="543" t="s">
        <v>240</v>
      </c>
      <c r="B10" s="544"/>
      <c r="C10" s="544"/>
      <c r="D10" s="544"/>
      <c r="E10" s="544"/>
      <c r="F10" s="544"/>
      <c r="G10" s="545"/>
      <c r="H10" s="393" t="s">
        <v>0</v>
      </c>
    </row>
    <row r="11" spans="1:10" s="5" customFormat="1" ht="23.25" customHeight="1" thickBot="1" x14ac:dyDescent="0.25">
      <c r="A11" s="98" t="s">
        <v>17</v>
      </c>
      <c r="B11" s="48" t="s">
        <v>10</v>
      </c>
      <c r="C11" s="44" t="s">
        <v>3</v>
      </c>
      <c r="D11" s="45" t="s">
        <v>2</v>
      </c>
      <c r="E11" s="44" t="s">
        <v>99</v>
      </c>
      <c r="F11" s="44" t="s">
        <v>4</v>
      </c>
      <c r="G11" s="46" t="s">
        <v>5</v>
      </c>
      <c r="H11" s="395"/>
    </row>
    <row r="12" spans="1:10" s="93" customFormat="1" ht="18" x14ac:dyDescent="0.25">
      <c r="A12" s="339">
        <v>1</v>
      </c>
      <c r="B12" s="333"/>
      <c r="C12" s="334" t="s">
        <v>176</v>
      </c>
      <c r="D12" s="335"/>
      <c r="E12" s="336"/>
      <c r="F12" s="337"/>
      <c r="G12" s="514">
        <f>SUM(G13:G23)</f>
        <v>8146.5355999999983</v>
      </c>
      <c r="H12" s="54">
        <f>G12/$G$155</f>
        <v>1.4112948297309885E-2</v>
      </c>
      <c r="I12" s="457"/>
      <c r="J12" s="459"/>
    </row>
    <row r="13" spans="1:10" s="93" customFormat="1" ht="54" x14ac:dyDescent="0.25">
      <c r="A13" s="503" t="s">
        <v>122</v>
      </c>
      <c r="B13" s="504" t="s">
        <v>120</v>
      </c>
      <c r="C13" s="505" t="s">
        <v>177</v>
      </c>
      <c r="D13" s="506" t="s">
        <v>109</v>
      </c>
      <c r="E13" s="494">
        <v>24</v>
      </c>
      <c r="F13" s="513">
        <f>COMPOSIÇÕES!H27</f>
        <v>121.09</v>
      </c>
      <c r="G13" s="513">
        <f>E13*F13</f>
        <v>2906.16</v>
      </c>
      <c r="H13" s="54">
        <f t="shared" ref="H13:H76" si="0">G13/$G$155</f>
        <v>5.0345923515893194E-3</v>
      </c>
      <c r="I13" s="92"/>
      <c r="J13" s="459"/>
    </row>
    <row r="14" spans="1:10" s="93" customFormat="1" ht="18" x14ac:dyDescent="0.25">
      <c r="A14" s="503" t="s">
        <v>154</v>
      </c>
      <c r="B14" s="504">
        <v>88316</v>
      </c>
      <c r="C14" s="505" t="s">
        <v>114</v>
      </c>
      <c r="D14" s="506" t="s">
        <v>109</v>
      </c>
      <c r="E14" s="494">
        <f>E13*2</f>
        <v>48</v>
      </c>
      <c r="F14" s="513">
        <f>COMPOSIÇÕES!F14</f>
        <v>17.37</v>
      </c>
      <c r="G14" s="513">
        <f t="shared" ref="G14:G23" si="1">E14*F14</f>
        <v>833.76</v>
      </c>
      <c r="H14" s="54">
        <f t="shared" si="0"/>
        <v>1.4443945684549753E-3</v>
      </c>
      <c r="I14" s="92"/>
      <c r="J14" s="92"/>
    </row>
    <row r="15" spans="1:10" s="93" customFormat="1" ht="18" x14ac:dyDescent="0.25">
      <c r="A15" s="503" t="s">
        <v>123</v>
      </c>
      <c r="B15" s="504" t="s">
        <v>120</v>
      </c>
      <c r="C15" s="505" t="s">
        <v>178</v>
      </c>
      <c r="D15" s="506" t="s">
        <v>1</v>
      </c>
      <c r="E15" s="494">
        <v>6</v>
      </c>
      <c r="F15" s="513">
        <f>COMPOSIÇÕES!H37</f>
        <v>309.89499999999992</v>
      </c>
      <c r="G15" s="513">
        <f t="shared" si="1"/>
        <v>1859.3699999999994</v>
      </c>
      <c r="H15" s="54">
        <f t="shared" si="0"/>
        <v>3.2211474869844156E-3</v>
      </c>
      <c r="I15" s="92"/>
      <c r="J15" s="92"/>
    </row>
    <row r="16" spans="1:10" s="93" customFormat="1" ht="36" x14ac:dyDescent="0.25">
      <c r="A16" s="503" t="s">
        <v>124</v>
      </c>
      <c r="B16" s="504" t="s">
        <v>120</v>
      </c>
      <c r="C16" s="507" t="s">
        <v>251</v>
      </c>
      <c r="D16" s="506" t="s">
        <v>184</v>
      </c>
      <c r="E16" s="494">
        <v>100</v>
      </c>
      <c r="F16" s="513">
        <f>COMPOSIÇÕES!H43</f>
        <v>1.782</v>
      </c>
      <c r="G16" s="513">
        <f t="shared" si="1"/>
        <v>178.2</v>
      </c>
      <c r="H16" s="54">
        <f t="shared" si="0"/>
        <v>3.0871127434594676E-4</v>
      </c>
      <c r="I16" s="92"/>
      <c r="J16" s="92"/>
    </row>
    <row r="17" spans="1:10" s="93" customFormat="1" ht="18" x14ac:dyDescent="0.25">
      <c r="A17" s="503" t="s">
        <v>162</v>
      </c>
      <c r="B17" s="504" t="s">
        <v>120</v>
      </c>
      <c r="C17" s="508" t="s">
        <v>253</v>
      </c>
      <c r="D17" s="506" t="s">
        <v>188</v>
      </c>
      <c r="E17" s="494">
        <v>2</v>
      </c>
      <c r="F17" s="513">
        <f>COMPOSIÇÕES!H49</f>
        <v>25.457999999999998</v>
      </c>
      <c r="G17" s="513">
        <f t="shared" si="1"/>
        <v>50.915999999999997</v>
      </c>
      <c r="H17" s="54">
        <f t="shared" si="0"/>
        <v>8.8206191047128084E-5</v>
      </c>
      <c r="I17" s="92"/>
      <c r="J17" s="92"/>
    </row>
    <row r="18" spans="1:10" s="93" customFormat="1" ht="36" x14ac:dyDescent="0.25">
      <c r="A18" s="503" t="s">
        <v>179</v>
      </c>
      <c r="B18" s="504" t="s">
        <v>120</v>
      </c>
      <c r="C18" s="508" t="s">
        <v>254</v>
      </c>
      <c r="D18" s="506" t="s">
        <v>188</v>
      </c>
      <c r="E18" s="494">
        <v>2</v>
      </c>
      <c r="F18" s="513">
        <f>COMPOSIÇÕES!H55</f>
        <v>29.701000000000001</v>
      </c>
      <c r="G18" s="513">
        <f t="shared" si="1"/>
        <v>59.402000000000001</v>
      </c>
      <c r="H18" s="54">
        <f t="shared" si="0"/>
        <v>1.0290722288831612E-4</v>
      </c>
      <c r="I18" s="429"/>
      <c r="J18" s="429"/>
    </row>
    <row r="19" spans="1:10" s="453" customFormat="1" ht="18" x14ac:dyDescent="0.25">
      <c r="A19" s="503" t="s">
        <v>180</v>
      </c>
      <c r="B19" s="504" t="s">
        <v>120</v>
      </c>
      <c r="C19" s="508" t="s">
        <v>255</v>
      </c>
      <c r="D19" s="506" t="s">
        <v>188</v>
      </c>
      <c r="E19" s="494">
        <v>2</v>
      </c>
      <c r="F19" s="513">
        <f>COMPOSIÇÕES!H60</f>
        <v>63.644999999999996</v>
      </c>
      <c r="G19" s="513">
        <f t="shared" si="1"/>
        <v>127.28999999999999</v>
      </c>
      <c r="H19" s="54">
        <f t="shared" si="0"/>
        <v>2.2051547761782022E-4</v>
      </c>
      <c r="I19" s="429"/>
      <c r="J19" s="429"/>
    </row>
    <row r="20" spans="1:10" s="453" customFormat="1" ht="18" x14ac:dyDescent="0.25">
      <c r="A20" s="503" t="s">
        <v>257</v>
      </c>
      <c r="B20" s="504" t="s">
        <v>120</v>
      </c>
      <c r="C20" s="508" t="s">
        <v>256</v>
      </c>
      <c r="D20" s="506" t="s">
        <v>2</v>
      </c>
      <c r="E20" s="494">
        <v>1</v>
      </c>
      <c r="F20" s="513">
        <f>COMPOSIÇÕES!H66</f>
        <v>1751.6040000000003</v>
      </c>
      <c r="G20" s="513">
        <f t="shared" si="1"/>
        <v>1751.6040000000003</v>
      </c>
      <c r="H20" s="54">
        <f t="shared" si="0"/>
        <v>3.0344551233976312E-3</v>
      </c>
      <c r="I20" s="429"/>
      <c r="J20" s="429"/>
    </row>
    <row r="21" spans="1:10" s="453" customFormat="1" ht="18" x14ac:dyDescent="0.25">
      <c r="A21" s="503" t="s">
        <v>259</v>
      </c>
      <c r="B21" s="504" t="s">
        <v>120</v>
      </c>
      <c r="C21" s="508" t="s">
        <v>258</v>
      </c>
      <c r="D21" s="506" t="s">
        <v>188</v>
      </c>
      <c r="E21" s="494">
        <v>10</v>
      </c>
      <c r="F21" s="513">
        <f>COMPOSIÇÕES!H71</f>
        <v>17.64</v>
      </c>
      <c r="G21" s="513">
        <f t="shared" si="1"/>
        <v>176.4</v>
      </c>
      <c r="H21" s="54">
        <f t="shared" si="0"/>
        <v>3.0559297864548267E-4</v>
      </c>
      <c r="I21" s="429"/>
      <c r="J21" s="429"/>
    </row>
    <row r="22" spans="1:10" s="93" customFormat="1" ht="18" x14ac:dyDescent="0.25">
      <c r="A22" s="503" t="s">
        <v>260</v>
      </c>
      <c r="B22" s="504" t="s">
        <v>120</v>
      </c>
      <c r="C22" s="508" t="s">
        <v>267</v>
      </c>
      <c r="D22" s="506" t="s">
        <v>112</v>
      </c>
      <c r="E22" s="494">
        <v>10</v>
      </c>
      <c r="F22" s="513">
        <f>COMPOSIÇÕES!H76</f>
        <v>6.9480000000000004</v>
      </c>
      <c r="G22" s="513">
        <f t="shared" si="1"/>
        <v>69.48</v>
      </c>
      <c r="H22" s="54">
        <f t="shared" si="0"/>
        <v>1.2036621403791461E-4</v>
      </c>
      <c r="I22" s="92"/>
      <c r="J22" s="92"/>
    </row>
    <row r="23" spans="1:10" s="93" customFormat="1" ht="36" x14ac:dyDescent="0.25">
      <c r="A23" s="503" t="s">
        <v>261</v>
      </c>
      <c r="B23" s="504" t="s">
        <v>120</v>
      </c>
      <c r="C23" s="508" t="s">
        <v>181</v>
      </c>
      <c r="D23" s="506" t="s">
        <v>113</v>
      </c>
      <c r="E23" s="494">
        <v>100</v>
      </c>
      <c r="F23" s="513">
        <f>COMPOSIÇÕES!H81</f>
        <v>1.3395359999999998</v>
      </c>
      <c r="G23" s="513">
        <f t="shared" si="1"/>
        <v>133.95359999999999</v>
      </c>
      <c r="H23" s="54">
        <f t="shared" si="0"/>
        <v>2.3205940830093834E-4</v>
      </c>
      <c r="I23" s="92"/>
      <c r="J23" s="92"/>
    </row>
    <row r="24" spans="1:10" s="93" customFormat="1" ht="18.75" thickBot="1" x14ac:dyDescent="0.3">
      <c r="A24" s="94"/>
      <c r="B24" s="85"/>
      <c r="C24" s="318"/>
      <c r="D24" s="86"/>
      <c r="E24" s="53"/>
      <c r="F24" s="53"/>
      <c r="G24" s="291"/>
      <c r="H24" s="54">
        <f t="shared" si="0"/>
        <v>0</v>
      </c>
      <c r="I24" s="95"/>
      <c r="J24" s="95"/>
    </row>
    <row r="25" spans="1:10" s="93" customFormat="1" ht="18" customHeight="1" thickBot="1" x14ac:dyDescent="0.3">
      <c r="A25" s="90">
        <v>2</v>
      </c>
      <c r="B25" s="56"/>
      <c r="C25" s="329" t="s">
        <v>110</v>
      </c>
      <c r="D25" s="57"/>
      <c r="E25" s="288"/>
      <c r="F25" s="283"/>
      <c r="G25" s="517">
        <f>SUM(G26:G29)</f>
        <v>57507.8</v>
      </c>
      <c r="H25" s="54">
        <f t="shared" si="0"/>
        <v>9.9625736379527721E-2</v>
      </c>
      <c r="I25" s="460"/>
      <c r="J25" s="463"/>
    </row>
    <row r="26" spans="1:10" s="96" customFormat="1" ht="36.75" thickBot="1" x14ac:dyDescent="0.3">
      <c r="A26" s="509" t="s">
        <v>125</v>
      </c>
      <c r="B26" s="504">
        <v>93565</v>
      </c>
      <c r="C26" s="510" t="s">
        <v>268</v>
      </c>
      <c r="D26" s="498" t="s">
        <v>111</v>
      </c>
      <c r="E26" s="330">
        <v>4</v>
      </c>
      <c r="F26" s="515">
        <v>8193.93</v>
      </c>
      <c r="G26" s="516">
        <f>E26*F26</f>
        <v>32775.72</v>
      </c>
      <c r="H26" s="54">
        <f t="shared" si="0"/>
        <v>5.6780214864230835E-2</v>
      </c>
      <c r="I26" s="461"/>
      <c r="J26" s="461"/>
    </row>
    <row r="27" spans="1:10" s="96" customFormat="1" ht="36.75" thickBot="1" x14ac:dyDescent="0.3">
      <c r="A27" s="509" t="s">
        <v>127</v>
      </c>
      <c r="B27" s="504">
        <v>93572</v>
      </c>
      <c r="C27" s="508" t="s">
        <v>269</v>
      </c>
      <c r="D27" s="511" t="s">
        <v>111</v>
      </c>
      <c r="E27" s="330">
        <v>4</v>
      </c>
      <c r="F27" s="515">
        <v>5290.1</v>
      </c>
      <c r="G27" s="516">
        <f t="shared" ref="G27:G29" si="2">E27*F27</f>
        <v>21160.400000000001</v>
      </c>
      <c r="H27" s="54">
        <f t="shared" si="0"/>
        <v>3.665799130005596E-2</v>
      </c>
      <c r="I27" s="461"/>
      <c r="J27" s="461"/>
    </row>
    <row r="28" spans="1:10" s="96" customFormat="1" ht="18.75" thickBot="1" x14ac:dyDescent="0.3">
      <c r="A28" s="509" t="s">
        <v>189</v>
      </c>
      <c r="B28" s="504" t="s">
        <v>271</v>
      </c>
      <c r="C28" s="512" t="s">
        <v>270</v>
      </c>
      <c r="D28" s="511" t="s">
        <v>111</v>
      </c>
      <c r="E28" s="330">
        <v>4</v>
      </c>
      <c r="F28" s="515">
        <v>307.92</v>
      </c>
      <c r="G28" s="516">
        <f t="shared" si="2"/>
        <v>1231.68</v>
      </c>
      <c r="H28" s="54">
        <f t="shared" si="0"/>
        <v>2.1337458046375743E-3</v>
      </c>
      <c r="I28" s="461"/>
      <c r="J28" s="461"/>
    </row>
    <row r="29" spans="1:10" s="96" customFormat="1" ht="18" x14ac:dyDescent="0.25">
      <c r="A29" s="509" t="s">
        <v>190</v>
      </c>
      <c r="B29" s="504" t="s">
        <v>121</v>
      </c>
      <c r="C29" s="508" t="s">
        <v>272</v>
      </c>
      <c r="D29" s="511" t="s">
        <v>111</v>
      </c>
      <c r="E29" s="330">
        <v>4</v>
      </c>
      <c r="F29" s="515">
        <f>COMPOSIÇÕES!H88</f>
        <v>585</v>
      </c>
      <c r="G29" s="516">
        <f t="shared" si="2"/>
        <v>2340</v>
      </c>
      <c r="H29" s="54">
        <f t="shared" si="0"/>
        <v>4.0537844106033416E-3</v>
      </c>
      <c r="I29" s="461"/>
      <c r="J29" s="461"/>
    </row>
    <row r="30" spans="1:10" s="96" customFormat="1" ht="18.75" thickBot="1" x14ac:dyDescent="0.3">
      <c r="A30" s="97"/>
      <c r="B30" s="82"/>
      <c r="C30" s="290"/>
      <c r="D30" s="84"/>
      <c r="E30" s="83"/>
      <c r="F30" s="83"/>
      <c r="G30" s="59"/>
      <c r="H30" s="54">
        <f t="shared" si="0"/>
        <v>0</v>
      </c>
      <c r="I30" s="461"/>
      <c r="J30" s="461"/>
    </row>
    <row r="31" spans="1:10" s="5" customFormat="1" ht="18.75" customHeight="1" thickBot="1" x14ac:dyDescent="0.3">
      <c r="A31" s="90">
        <v>3</v>
      </c>
      <c r="B31" s="56"/>
      <c r="C31" s="329" t="s">
        <v>192</v>
      </c>
      <c r="D31" s="57"/>
      <c r="E31" s="287"/>
      <c r="F31" s="283"/>
      <c r="G31" s="58">
        <f>SUM(G32:G44)</f>
        <v>118269.02651847999</v>
      </c>
      <c r="H31" s="54">
        <f t="shared" si="0"/>
        <v>0.20488766493925104</v>
      </c>
      <c r="I31" s="462"/>
      <c r="J31" s="464"/>
    </row>
    <row r="32" spans="1:10" s="93" customFormat="1" ht="18" x14ac:dyDescent="0.25">
      <c r="A32" s="94" t="s">
        <v>128</v>
      </c>
      <c r="B32" s="492" t="s">
        <v>120</v>
      </c>
      <c r="C32" s="518" t="s">
        <v>275</v>
      </c>
      <c r="D32" s="493" t="s">
        <v>184</v>
      </c>
      <c r="E32" s="494">
        <v>607</v>
      </c>
      <c r="F32" s="513">
        <f>COMPOSIÇÕES!H97</f>
        <v>6.9480000000000004</v>
      </c>
      <c r="G32" s="519">
        <f>E32*F32</f>
        <v>4217.4360000000006</v>
      </c>
      <c r="H32" s="54">
        <f t="shared" si="0"/>
        <v>7.3062291921014173E-3</v>
      </c>
      <c r="I32" s="457"/>
      <c r="J32" s="457"/>
    </row>
    <row r="33" spans="1:10" s="93" customFormat="1" ht="18" x14ac:dyDescent="0.25">
      <c r="A33" s="94" t="s">
        <v>129</v>
      </c>
      <c r="B33" s="492" t="s">
        <v>120</v>
      </c>
      <c r="C33" s="518" t="s">
        <v>276</v>
      </c>
      <c r="D33" s="493" t="s">
        <v>188</v>
      </c>
      <c r="E33" s="494">
        <v>30.35</v>
      </c>
      <c r="F33" s="513">
        <f>COMPOSIÇÕES!H102</f>
        <v>52.11</v>
      </c>
      <c r="G33" s="519">
        <f t="shared" ref="G33:G44" si="3">E33*F33</f>
        <v>1581.5385000000001</v>
      </c>
      <c r="H33" s="54">
        <f t="shared" si="0"/>
        <v>2.7398359470380313E-3</v>
      </c>
      <c r="I33" s="92"/>
      <c r="J33" s="92"/>
    </row>
    <row r="34" spans="1:10" s="93" customFormat="1" ht="18" x14ac:dyDescent="0.25">
      <c r="A34" s="94" t="s">
        <v>130</v>
      </c>
      <c r="B34" s="492" t="s">
        <v>120</v>
      </c>
      <c r="C34" s="520" t="s">
        <v>258</v>
      </c>
      <c r="D34" s="521" t="s">
        <v>188</v>
      </c>
      <c r="E34" s="494">
        <v>103.19</v>
      </c>
      <c r="F34" s="513">
        <f>COMPOSIÇÕES!H108</f>
        <v>17.64</v>
      </c>
      <c r="G34" s="519">
        <f t="shared" si="3"/>
        <v>1820.2716</v>
      </c>
      <c r="H34" s="54">
        <f t="shared" si="0"/>
        <v>3.1534139466427359E-3</v>
      </c>
      <c r="I34" s="92"/>
      <c r="J34" s="92"/>
    </row>
    <row r="35" spans="1:10" s="93" customFormat="1" ht="18" x14ac:dyDescent="0.25">
      <c r="A35" s="94" t="s">
        <v>134</v>
      </c>
      <c r="B35" s="492" t="s">
        <v>120</v>
      </c>
      <c r="C35" s="518" t="s">
        <v>267</v>
      </c>
      <c r="D35" s="521" t="s">
        <v>188</v>
      </c>
      <c r="E35" s="494">
        <v>50</v>
      </c>
      <c r="F35" s="513">
        <f>COMPOSIÇÕES!H112</f>
        <v>6.9480000000000004</v>
      </c>
      <c r="G35" s="519">
        <f t="shared" si="3"/>
        <v>347.40000000000003</v>
      </c>
      <c r="H35" s="54">
        <f t="shared" si="0"/>
        <v>6.0183107018957306E-4</v>
      </c>
      <c r="I35" s="92"/>
      <c r="J35" s="92"/>
    </row>
    <row r="36" spans="1:10" s="93" customFormat="1" ht="42.75" customHeight="1" x14ac:dyDescent="0.25">
      <c r="A36" s="94" t="s">
        <v>136</v>
      </c>
      <c r="B36" s="492" t="s">
        <v>120</v>
      </c>
      <c r="C36" s="518" t="s">
        <v>181</v>
      </c>
      <c r="D36" s="493" t="s">
        <v>291</v>
      </c>
      <c r="E36" s="494">
        <v>500</v>
      </c>
      <c r="F36" s="513">
        <f>COMPOSIÇÕES!H118</f>
        <v>1.3395359999999998</v>
      </c>
      <c r="G36" s="519">
        <f t="shared" si="3"/>
        <v>669.76799999999992</v>
      </c>
      <c r="H36" s="54">
        <f t="shared" si="0"/>
        <v>1.1602970415046916E-3</v>
      </c>
      <c r="I36" s="92"/>
      <c r="J36" s="92"/>
    </row>
    <row r="37" spans="1:10" s="93" customFormat="1" ht="36" x14ac:dyDescent="0.25">
      <c r="A37" s="94" t="s">
        <v>137</v>
      </c>
      <c r="B37" s="492" t="s">
        <v>120</v>
      </c>
      <c r="C37" s="518" t="s">
        <v>293</v>
      </c>
      <c r="D37" s="493" t="s">
        <v>184</v>
      </c>
      <c r="E37" s="494">
        <v>607</v>
      </c>
      <c r="F37" s="513">
        <f>COMPOSIÇÕES!H124</f>
        <v>7.1440000000000001</v>
      </c>
      <c r="G37" s="519">
        <f t="shared" si="3"/>
        <v>4336.4080000000004</v>
      </c>
      <c r="H37" s="54">
        <f t="shared" si="0"/>
        <v>7.5123346788100922E-3</v>
      </c>
      <c r="I37" s="92"/>
      <c r="J37" s="92"/>
    </row>
    <row r="38" spans="1:10" s="93" customFormat="1" ht="45.75" customHeight="1" x14ac:dyDescent="0.25">
      <c r="A38" s="94" t="s">
        <v>138</v>
      </c>
      <c r="B38" s="492" t="s">
        <v>120</v>
      </c>
      <c r="C38" s="518" t="s">
        <v>298</v>
      </c>
      <c r="D38" s="493" t="s">
        <v>184</v>
      </c>
      <c r="E38" s="494">
        <v>607</v>
      </c>
      <c r="F38" s="513">
        <f>COMPOSIÇÕES!H136</f>
        <v>115.804236</v>
      </c>
      <c r="G38" s="519">
        <f t="shared" si="3"/>
        <v>70293.171252</v>
      </c>
      <c r="H38" s="54">
        <f t="shared" si="0"/>
        <v>0.12177494093727717</v>
      </c>
      <c r="I38" s="92"/>
      <c r="J38" s="92"/>
    </row>
    <row r="39" spans="1:10" s="93" customFormat="1" ht="54" x14ac:dyDescent="0.25">
      <c r="A39" s="94" t="s">
        <v>139</v>
      </c>
      <c r="B39" s="492" t="s">
        <v>120</v>
      </c>
      <c r="C39" s="522" t="s">
        <v>305</v>
      </c>
      <c r="D39" s="493" t="s">
        <v>184</v>
      </c>
      <c r="E39" s="494">
        <v>373.28</v>
      </c>
      <c r="F39" s="513">
        <f>COMPOSIÇÕES!H146</f>
        <v>74.015599999999992</v>
      </c>
      <c r="G39" s="519">
        <f t="shared" si="3"/>
        <v>27628.543167999997</v>
      </c>
      <c r="H39" s="54">
        <f t="shared" si="0"/>
        <v>4.7863315206034124E-2</v>
      </c>
      <c r="I39" s="457"/>
      <c r="J39" s="457"/>
    </row>
    <row r="40" spans="1:10" s="93" customFormat="1" ht="18" x14ac:dyDescent="0.25">
      <c r="A40" s="94" t="s">
        <v>140</v>
      </c>
      <c r="B40" s="492" t="s">
        <v>120</v>
      </c>
      <c r="C40" s="522" t="s">
        <v>310</v>
      </c>
      <c r="D40" s="493" t="s">
        <v>184</v>
      </c>
      <c r="E40" s="494">
        <v>111.24</v>
      </c>
      <c r="F40" s="513">
        <f>COMPOSIÇÕES!H154</f>
        <v>44.664455999999994</v>
      </c>
      <c r="G40" s="519">
        <f t="shared" si="3"/>
        <v>4968.4740854399988</v>
      </c>
      <c r="H40" s="54">
        <f t="shared" si="0"/>
        <v>8.6073174324971628E-3</v>
      </c>
      <c r="I40" s="457"/>
      <c r="J40" s="457"/>
    </row>
    <row r="41" spans="1:10" s="93" customFormat="1" ht="18" x14ac:dyDescent="0.25">
      <c r="A41" s="94" t="s">
        <v>141</v>
      </c>
      <c r="B41" s="492" t="s">
        <v>120</v>
      </c>
      <c r="C41" s="522" t="s">
        <v>313</v>
      </c>
      <c r="D41" s="332" t="s">
        <v>188</v>
      </c>
      <c r="E41" s="494">
        <v>1.53</v>
      </c>
      <c r="F41" s="513">
        <f>COMPOSIÇÕES!H159</f>
        <v>148.505</v>
      </c>
      <c r="G41" s="519">
        <f t="shared" si="3"/>
        <v>227.21265</v>
      </c>
      <c r="H41" s="54">
        <f t="shared" si="0"/>
        <v>3.9362012754780914E-4</v>
      </c>
      <c r="I41" s="457"/>
      <c r="J41" s="457"/>
    </row>
    <row r="42" spans="1:10" s="93" customFormat="1" ht="37.5" customHeight="1" x14ac:dyDescent="0.25">
      <c r="A42" s="94" t="s">
        <v>142</v>
      </c>
      <c r="B42" s="492" t="s">
        <v>120</v>
      </c>
      <c r="C42" s="523" t="s">
        <v>298</v>
      </c>
      <c r="D42" s="493" t="s">
        <v>184</v>
      </c>
      <c r="E42" s="494">
        <v>7.64</v>
      </c>
      <c r="F42" s="513">
        <f>COMPOSIÇÕES!H170</f>
        <v>115.804236</v>
      </c>
      <c r="G42" s="519">
        <f t="shared" si="3"/>
        <v>884.74436303999994</v>
      </c>
      <c r="H42" s="54">
        <f t="shared" si="0"/>
        <v>1.5327191907097159E-3</v>
      </c>
      <c r="I42" s="457"/>
      <c r="J42" s="457"/>
    </row>
    <row r="43" spans="1:10" s="93" customFormat="1" ht="18" x14ac:dyDescent="0.25">
      <c r="A43" s="94" t="s">
        <v>143</v>
      </c>
      <c r="B43" s="492" t="s">
        <v>120</v>
      </c>
      <c r="C43" s="522" t="s">
        <v>314</v>
      </c>
      <c r="D43" s="332" t="s">
        <v>184</v>
      </c>
      <c r="E43" s="494">
        <v>10</v>
      </c>
      <c r="F43" s="513">
        <f>COMPOSIÇÕES!H179</f>
        <v>36.886389999999992</v>
      </c>
      <c r="G43" s="519">
        <f t="shared" si="3"/>
        <v>368.86389999999994</v>
      </c>
      <c r="H43" s="54">
        <f t="shared" si="0"/>
        <v>6.3901484079245717E-4</v>
      </c>
      <c r="I43" s="457"/>
      <c r="J43" s="457"/>
    </row>
    <row r="44" spans="1:10" s="93" customFormat="1" ht="18" x14ac:dyDescent="0.25">
      <c r="A44" s="94" t="s">
        <v>191</v>
      </c>
      <c r="B44" s="492" t="s">
        <v>120</v>
      </c>
      <c r="C44" s="522" t="s">
        <v>318</v>
      </c>
      <c r="D44" s="332" t="s">
        <v>184</v>
      </c>
      <c r="E44" s="332">
        <v>12.5</v>
      </c>
      <c r="F44" s="515">
        <f>COMPOSIÇÕES!H187</f>
        <v>74.015599999999992</v>
      </c>
      <c r="G44" s="519">
        <f t="shared" si="3"/>
        <v>925.19499999999994</v>
      </c>
      <c r="H44" s="54">
        <f t="shared" si="0"/>
        <v>1.6027953281060505E-3</v>
      </c>
      <c r="I44" s="457"/>
      <c r="J44" s="457"/>
    </row>
    <row r="45" spans="1:10" s="93" customFormat="1" ht="18" x14ac:dyDescent="0.25">
      <c r="A45" s="94"/>
      <c r="B45" s="338"/>
      <c r="C45" s="369"/>
      <c r="D45" s="332"/>
      <c r="E45" s="332"/>
      <c r="F45" s="330"/>
      <c r="G45" s="55"/>
      <c r="H45" s="54">
        <f t="shared" si="0"/>
        <v>0</v>
      </c>
      <c r="I45" s="457"/>
      <c r="J45" s="457"/>
    </row>
    <row r="46" spans="1:10" s="93" customFormat="1" ht="18.75" thickBot="1" x14ac:dyDescent="0.3">
      <c r="A46" s="94"/>
      <c r="B46" s="338"/>
      <c r="C46" s="331"/>
      <c r="D46" s="332"/>
      <c r="E46" s="330"/>
      <c r="F46" s="330"/>
      <c r="G46" s="55"/>
      <c r="H46" s="54">
        <f t="shared" si="0"/>
        <v>0</v>
      </c>
      <c r="I46" s="92"/>
      <c r="J46" s="92"/>
    </row>
    <row r="47" spans="1:10" s="93" customFormat="1" ht="18.75" thickBot="1" x14ac:dyDescent="0.3">
      <c r="A47" s="90">
        <v>4</v>
      </c>
      <c r="B47" s="56"/>
      <c r="C47" s="329" t="s">
        <v>195</v>
      </c>
      <c r="D47" s="57"/>
      <c r="E47" s="288"/>
      <c r="F47" s="283"/>
      <c r="G47" s="58">
        <f>SUM(G49:G140)</f>
        <v>125286.26212916512</v>
      </c>
      <c r="H47" s="54">
        <f t="shared" si="0"/>
        <v>0.21704422918033051</v>
      </c>
      <c r="I47" s="92"/>
      <c r="J47" s="92"/>
    </row>
    <row r="48" spans="1:10" s="93" customFormat="1" ht="18" x14ac:dyDescent="0.25">
      <c r="A48" s="465"/>
      <c r="B48" s="466"/>
      <c r="C48" s="467" t="s">
        <v>330</v>
      </c>
      <c r="D48" s="468"/>
      <c r="E48" s="469"/>
      <c r="F48" s="470"/>
      <c r="G48" s="471"/>
      <c r="H48" s="54">
        <f t="shared" si="0"/>
        <v>0</v>
      </c>
      <c r="I48" s="457"/>
      <c r="J48" s="457"/>
    </row>
    <row r="49" spans="1:10" s="93" customFormat="1" ht="36.75" thickBot="1" x14ac:dyDescent="0.3">
      <c r="A49" s="94" t="s">
        <v>126</v>
      </c>
      <c r="B49" s="492" t="s">
        <v>120</v>
      </c>
      <c r="C49" s="522" t="s">
        <v>319</v>
      </c>
      <c r="D49" s="495" t="s">
        <v>184</v>
      </c>
      <c r="E49" s="495">
        <v>21.81</v>
      </c>
      <c r="F49" s="513">
        <f>COMPOSIÇÕES!H203</f>
        <v>7.7818399999999999</v>
      </c>
      <c r="G49" s="513">
        <f>E49*F49</f>
        <v>169.72193039999999</v>
      </c>
      <c r="H49" s="54">
        <f t="shared" si="0"/>
        <v>2.9402398102266038E-4</v>
      </c>
      <c r="I49" s="457"/>
      <c r="J49" s="457"/>
    </row>
    <row r="50" spans="1:10" s="93" customFormat="1" ht="18.75" thickBot="1" x14ac:dyDescent="0.3">
      <c r="A50" s="56"/>
      <c r="B50" s="56"/>
      <c r="C50" s="472" t="s">
        <v>331</v>
      </c>
      <c r="D50" s="56"/>
      <c r="E50" s="56"/>
      <c r="F50" s="56"/>
      <c r="G50" s="56">
        <f t="shared" ref="G50:G113" si="4">E50*F50</f>
        <v>0</v>
      </c>
      <c r="H50" s="54">
        <f t="shared" si="0"/>
        <v>0</v>
      </c>
      <c r="I50" s="457"/>
      <c r="J50" s="457"/>
    </row>
    <row r="51" spans="1:10" s="93" customFormat="1" ht="18" x14ac:dyDescent="0.25">
      <c r="A51" s="94" t="s">
        <v>131</v>
      </c>
      <c r="B51" s="492" t="s">
        <v>120</v>
      </c>
      <c r="C51" s="522" t="s">
        <v>332</v>
      </c>
      <c r="D51" s="495" t="s">
        <v>188</v>
      </c>
      <c r="E51" s="495">
        <v>1.97</v>
      </c>
      <c r="F51" s="513">
        <f>COMPOSIÇÕES!H207</f>
        <v>43.425000000000004</v>
      </c>
      <c r="G51" s="513">
        <f t="shared" si="4"/>
        <v>85.547250000000005</v>
      </c>
      <c r="H51" s="54">
        <f t="shared" si="0"/>
        <v>1.4820090103418238E-4</v>
      </c>
      <c r="I51" s="457"/>
      <c r="J51" s="457"/>
    </row>
    <row r="52" spans="1:10" s="93" customFormat="1" ht="36" x14ac:dyDescent="0.25">
      <c r="A52" s="94" t="s">
        <v>132</v>
      </c>
      <c r="B52" s="492" t="s">
        <v>120</v>
      </c>
      <c r="C52" s="522" t="s">
        <v>293</v>
      </c>
      <c r="D52" s="495" t="s">
        <v>184</v>
      </c>
      <c r="E52" s="495">
        <v>19.72</v>
      </c>
      <c r="F52" s="513">
        <f>COMPOSIÇÕES!H214</f>
        <v>8.93</v>
      </c>
      <c r="G52" s="513">
        <f t="shared" si="4"/>
        <v>176.09959999999998</v>
      </c>
      <c r="H52" s="54">
        <f t="shared" si="0"/>
        <v>3.0507256974080519E-4</v>
      </c>
      <c r="I52" s="457"/>
      <c r="J52" s="457"/>
    </row>
    <row r="53" spans="1:10" s="93" customFormat="1" ht="36" x14ac:dyDescent="0.25">
      <c r="A53" s="94" t="s">
        <v>133</v>
      </c>
      <c r="B53" s="492" t="s">
        <v>120</v>
      </c>
      <c r="C53" s="522" t="s">
        <v>333</v>
      </c>
      <c r="D53" s="495" t="s">
        <v>184</v>
      </c>
      <c r="E53" s="495">
        <v>19.72</v>
      </c>
      <c r="F53" s="513">
        <f>COMPOSIÇÕES!H220</f>
        <v>2.1773700000000002</v>
      </c>
      <c r="G53" s="513">
        <f t="shared" si="4"/>
        <v>42.937736400000006</v>
      </c>
      <c r="H53" s="54">
        <f t="shared" si="0"/>
        <v>7.4384754890989601E-5</v>
      </c>
      <c r="I53" s="457"/>
      <c r="J53" s="457"/>
    </row>
    <row r="54" spans="1:10" s="93" customFormat="1" ht="24.75" customHeight="1" x14ac:dyDescent="0.25">
      <c r="A54" s="94" t="s">
        <v>144</v>
      </c>
      <c r="B54" s="492" t="s">
        <v>120</v>
      </c>
      <c r="C54" s="522" t="s">
        <v>336</v>
      </c>
      <c r="D54" s="495" t="s">
        <v>184</v>
      </c>
      <c r="E54" s="495">
        <v>19.72</v>
      </c>
      <c r="F54" s="513">
        <f>COMPOSIÇÕES!H227</f>
        <v>23.036594999999998</v>
      </c>
      <c r="G54" s="513">
        <f t="shared" si="4"/>
        <v>454.28165339999993</v>
      </c>
      <c r="H54" s="54">
        <f t="shared" si="0"/>
        <v>7.8699140366497017E-4</v>
      </c>
      <c r="I54" s="457"/>
      <c r="J54" s="457"/>
    </row>
    <row r="55" spans="1:10" s="93" customFormat="1" ht="18.75" thickBot="1" x14ac:dyDescent="0.3">
      <c r="A55" s="94" t="s">
        <v>145</v>
      </c>
      <c r="B55" s="492">
        <v>4720</v>
      </c>
      <c r="C55" s="522" t="s">
        <v>339</v>
      </c>
      <c r="D55" s="495" t="s">
        <v>188</v>
      </c>
      <c r="E55" s="495">
        <v>2</v>
      </c>
      <c r="F55" s="513">
        <v>77.739999999999995</v>
      </c>
      <c r="G55" s="513">
        <f t="shared" si="4"/>
        <v>155.47999999999999</v>
      </c>
      <c r="H55" s="54">
        <f t="shared" si="0"/>
        <v>2.6935145306008866E-4</v>
      </c>
      <c r="I55" s="457"/>
      <c r="J55" s="457"/>
    </row>
    <row r="56" spans="1:10" s="93" customFormat="1" ht="18.75" thickBot="1" x14ac:dyDescent="0.3">
      <c r="A56" s="56"/>
      <c r="B56" s="56"/>
      <c r="C56" s="472" t="s">
        <v>340</v>
      </c>
      <c r="D56" s="56"/>
      <c r="E56" s="56"/>
      <c r="F56" s="56"/>
      <c r="G56" s="56">
        <f t="shared" si="4"/>
        <v>0</v>
      </c>
      <c r="H56" s="54">
        <f t="shared" si="0"/>
        <v>0</v>
      </c>
      <c r="I56" s="457"/>
      <c r="J56" s="457"/>
    </row>
    <row r="57" spans="1:10" s="93" customFormat="1" ht="36" x14ac:dyDescent="0.25">
      <c r="A57" s="94" t="s">
        <v>146</v>
      </c>
      <c r="B57" s="492" t="s">
        <v>120</v>
      </c>
      <c r="C57" s="522" t="s">
        <v>341</v>
      </c>
      <c r="D57" s="495" t="s">
        <v>193</v>
      </c>
      <c r="E57" s="495">
        <v>80</v>
      </c>
      <c r="F57" s="513">
        <f>COMPOSIÇÕES!H236</f>
        <v>14.568764999999999</v>
      </c>
      <c r="G57" s="513">
        <f t="shared" si="4"/>
        <v>1165.5011999999999</v>
      </c>
      <c r="H57" s="54">
        <f t="shared" si="0"/>
        <v>2.0190985449143107E-3</v>
      </c>
      <c r="I57" s="457"/>
      <c r="J57" s="457"/>
    </row>
    <row r="58" spans="1:10" s="93" customFormat="1" ht="37.5" customHeight="1" x14ac:dyDescent="0.25">
      <c r="A58" s="94" t="s">
        <v>147</v>
      </c>
      <c r="B58" s="492" t="s">
        <v>120</v>
      </c>
      <c r="C58" s="522" t="s">
        <v>351</v>
      </c>
      <c r="D58" s="495" t="s">
        <v>193</v>
      </c>
      <c r="E58" s="495">
        <v>123</v>
      </c>
      <c r="F58" s="513">
        <f>COMPOSIÇÕES!H244</f>
        <v>12.497705</v>
      </c>
      <c r="G58" s="513">
        <f t="shared" si="4"/>
        <v>1537.217715</v>
      </c>
      <c r="H58" s="54">
        <f t="shared" si="0"/>
        <v>2.6630552174232011E-3</v>
      </c>
      <c r="I58" s="457"/>
      <c r="J58" s="457"/>
    </row>
    <row r="59" spans="1:10" s="93" customFormat="1" ht="36" x14ac:dyDescent="0.25">
      <c r="A59" s="94" t="s">
        <v>148</v>
      </c>
      <c r="B59" s="492" t="s">
        <v>120</v>
      </c>
      <c r="C59" s="522" t="s">
        <v>355</v>
      </c>
      <c r="D59" s="495" t="s">
        <v>184</v>
      </c>
      <c r="E59" s="495">
        <v>3.6</v>
      </c>
      <c r="F59" s="513">
        <f>COMPOSIÇÕES!H256</f>
        <v>122.9957</v>
      </c>
      <c r="G59" s="513">
        <f t="shared" si="4"/>
        <v>442.78451999999999</v>
      </c>
      <c r="H59" s="54">
        <f t="shared" si="0"/>
        <v>7.6707392497114672E-4</v>
      </c>
      <c r="I59" s="457"/>
      <c r="J59" s="457"/>
    </row>
    <row r="60" spans="1:10" s="93" customFormat="1" ht="45" customHeight="1" x14ac:dyDescent="0.25">
      <c r="A60" s="94" t="s">
        <v>149</v>
      </c>
      <c r="B60" s="492" t="s">
        <v>120</v>
      </c>
      <c r="C60" s="528" t="s">
        <v>400</v>
      </c>
      <c r="D60" s="493" t="s">
        <v>112</v>
      </c>
      <c r="E60" s="529">
        <v>2.5099999999999998</v>
      </c>
      <c r="F60" s="529">
        <f>COMPOSIÇÕES!H269</f>
        <v>344.18700000000001</v>
      </c>
      <c r="G60" s="513">
        <f t="shared" si="4"/>
        <v>863.90936999999997</v>
      </c>
      <c r="H60" s="54">
        <f t="shared" si="0"/>
        <v>1.4966249300342538E-3</v>
      </c>
      <c r="I60" s="457"/>
      <c r="J60" s="457"/>
    </row>
    <row r="61" spans="1:10" s="93" customFormat="1" ht="36.75" thickBot="1" x14ac:dyDescent="0.3">
      <c r="A61" s="94" t="s">
        <v>150</v>
      </c>
      <c r="B61" s="492" t="s">
        <v>120</v>
      </c>
      <c r="C61" s="522" t="s">
        <v>366</v>
      </c>
      <c r="D61" s="495" t="s">
        <v>188</v>
      </c>
      <c r="E61" s="495">
        <v>2.5099999999999998</v>
      </c>
      <c r="F61" s="513">
        <f>COMPOSIÇÕES!H278</f>
        <v>78.641059999999996</v>
      </c>
      <c r="G61" s="513">
        <f t="shared" si="4"/>
        <v>197.38906059999997</v>
      </c>
      <c r="H61" s="54">
        <f t="shared" si="0"/>
        <v>3.4195414388201627E-4</v>
      </c>
      <c r="I61" s="457"/>
      <c r="J61" s="457"/>
    </row>
    <row r="62" spans="1:10" s="93" customFormat="1" ht="18.75" thickBot="1" x14ac:dyDescent="0.3">
      <c r="A62" s="56"/>
      <c r="B62" s="56"/>
      <c r="C62" s="472" t="s">
        <v>375</v>
      </c>
      <c r="D62" s="56"/>
      <c r="E62" s="56"/>
      <c r="F62" s="56"/>
      <c r="G62" s="56">
        <f t="shared" si="4"/>
        <v>0</v>
      </c>
      <c r="H62" s="54">
        <f t="shared" si="0"/>
        <v>0</v>
      </c>
      <c r="I62" s="457"/>
      <c r="J62" s="457"/>
    </row>
    <row r="63" spans="1:10" s="93" customFormat="1" ht="36" x14ac:dyDescent="0.25">
      <c r="A63" s="94" t="s">
        <v>151</v>
      </c>
      <c r="B63" s="492" t="s">
        <v>120</v>
      </c>
      <c r="C63" s="522" t="s">
        <v>376</v>
      </c>
      <c r="D63" s="495" t="s">
        <v>193</v>
      </c>
      <c r="E63" s="495">
        <v>158</v>
      </c>
      <c r="F63" s="513">
        <f>COMPOSIÇÕES!H287</f>
        <v>15.474364</v>
      </c>
      <c r="G63" s="513">
        <f t="shared" si="4"/>
        <v>2444.9495120000001</v>
      </c>
      <c r="H63" s="54">
        <f t="shared" si="0"/>
        <v>4.2355975284007899E-3</v>
      </c>
      <c r="I63" s="457"/>
      <c r="J63" s="457"/>
    </row>
    <row r="64" spans="1:10" s="93" customFormat="1" ht="54" x14ac:dyDescent="0.25">
      <c r="A64" s="94" t="s">
        <v>153</v>
      </c>
      <c r="B64" s="492" t="s">
        <v>120</v>
      </c>
      <c r="C64" s="522" t="s">
        <v>379</v>
      </c>
      <c r="D64" s="495" t="s">
        <v>193</v>
      </c>
      <c r="E64" s="495">
        <v>119</v>
      </c>
      <c r="F64" s="513">
        <f>COMPOSIÇÕES!H297</f>
        <v>18.378446</v>
      </c>
      <c r="G64" s="513">
        <f t="shared" si="4"/>
        <v>2187.0350739999999</v>
      </c>
      <c r="H64" s="54">
        <f t="shared" si="0"/>
        <v>3.7887900377880021E-3</v>
      </c>
      <c r="I64" s="457"/>
      <c r="J64" s="457"/>
    </row>
    <row r="65" spans="1:10" s="93" customFormat="1" ht="48.75" customHeight="1" x14ac:dyDescent="0.25">
      <c r="A65" s="94" t="s">
        <v>160</v>
      </c>
      <c r="B65" s="492" t="s">
        <v>120</v>
      </c>
      <c r="C65" s="522" t="s">
        <v>382</v>
      </c>
      <c r="D65" s="495" t="s">
        <v>193</v>
      </c>
      <c r="E65" s="495">
        <v>19</v>
      </c>
      <c r="F65" s="513">
        <f>COMPOSIÇÕES!H306</f>
        <v>16.219049999999999</v>
      </c>
      <c r="G65" s="513">
        <f t="shared" si="4"/>
        <v>308.16194999999999</v>
      </c>
      <c r="H65" s="54">
        <f t="shared" si="0"/>
        <v>5.338556020731309E-4</v>
      </c>
      <c r="I65" s="457"/>
      <c r="J65" s="457"/>
    </row>
    <row r="66" spans="1:10" s="93" customFormat="1" ht="36" x14ac:dyDescent="0.25">
      <c r="A66" s="94" t="s">
        <v>161</v>
      </c>
      <c r="B66" s="492" t="s">
        <v>120</v>
      </c>
      <c r="C66" s="522" t="s">
        <v>385</v>
      </c>
      <c r="D66" s="495" t="s">
        <v>184</v>
      </c>
      <c r="E66" s="495">
        <v>52.62</v>
      </c>
      <c r="F66" s="513">
        <f>COMPOSIÇÕES!H319</f>
        <v>90.774180000000001</v>
      </c>
      <c r="G66" s="513">
        <f t="shared" si="4"/>
        <v>4776.5373516</v>
      </c>
      <c r="H66" s="54">
        <f t="shared" si="0"/>
        <v>8.2748088258891676E-3</v>
      </c>
      <c r="I66" s="457"/>
      <c r="J66" s="457"/>
    </row>
    <row r="67" spans="1:10" s="93" customFormat="1" ht="42.75" customHeight="1" x14ac:dyDescent="0.25">
      <c r="A67" s="94" t="s">
        <v>207</v>
      </c>
      <c r="B67" s="492" t="s">
        <v>591</v>
      </c>
      <c r="C67" s="522" t="s">
        <v>400</v>
      </c>
      <c r="D67" s="495" t="s">
        <v>188</v>
      </c>
      <c r="E67" s="495">
        <v>6.44</v>
      </c>
      <c r="F67" s="513">
        <f>COMPOSIÇÕES!H269</f>
        <v>344.18700000000001</v>
      </c>
      <c r="G67" s="513">
        <f t="shared" si="4"/>
        <v>2216.5642800000001</v>
      </c>
      <c r="H67" s="54">
        <f t="shared" si="0"/>
        <v>3.8399460356257353E-3</v>
      </c>
      <c r="I67" s="457"/>
      <c r="J67" s="457"/>
    </row>
    <row r="68" spans="1:10" s="93" customFormat="1" ht="42.75" customHeight="1" thickBot="1" x14ac:dyDescent="0.3">
      <c r="A68" s="94" t="s">
        <v>208</v>
      </c>
      <c r="B68" s="492" t="s">
        <v>403</v>
      </c>
      <c r="C68" s="522" t="s">
        <v>402</v>
      </c>
      <c r="D68" s="495" t="s">
        <v>188</v>
      </c>
      <c r="E68" s="495">
        <v>6.44</v>
      </c>
      <c r="F68" s="513">
        <f>COMPOSIÇÕES!H278</f>
        <v>78.641059999999996</v>
      </c>
      <c r="G68" s="513">
        <f t="shared" si="4"/>
        <v>506.44842640000002</v>
      </c>
      <c r="H68" s="54">
        <f t="shared" si="0"/>
        <v>8.7736441697218546E-4</v>
      </c>
      <c r="I68" s="457"/>
      <c r="J68" s="457"/>
    </row>
    <row r="69" spans="1:10" s="93" customFormat="1" ht="18.75" thickBot="1" x14ac:dyDescent="0.3">
      <c r="A69" s="56"/>
      <c r="B69" s="56"/>
      <c r="C69" s="472" t="s">
        <v>404</v>
      </c>
      <c r="D69" s="56"/>
      <c r="E69" s="56"/>
      <c r="F69" s="56"/>
      <c r="G69" s="56">
        <f t="shared" si="4"/>
        <v>0</v>
      </c>
      <c r="H69" s="54">
        <f t="shared" si="0"/>
        <v>0</v>
      </c>
      <c r="I69" s="457"/>
      <c r="J69" s="457"/>
    </row>
    <row r="70" spans="1:10" s="93" customFormat="1" ht="42.75" customHeight="1" x14ac:dyDescent="0.25">
      <c r="A70" s="94" t="s">
        <v>209</v>
      </c>
      <c r="B70" s="492" t="s">
        <v>120</v>
      </c>
      <c r="C70" s="522" t="s">
        <v>405</v>
      </c>
      <c r="D70" s="495" t="s">
        <v>193</v>
      </c>
      <c r="E70" s="495">
        <v>2.73</v>
      </c>
      <c r="F70" s="513">
        <f>COMPOSIÇÕES!H327</f>
        <v>16.183989</v>
      </c>
      <c r="G70" s="513">
        <f t="shared" si="4"/>
        <v>44.182289969999999</v>
      </c>
      <c r="H70" s="54">
        <f t="shared" si="0"/>
        <v>7.6540802694505288E-5</v>
      </c>
      <c r="I70" s="457"/>
      <c r="J70" s="457"/>
    </row>
    <row r="71" spans="1:10" s="93" customFormat="1" ht="36" x14ac:dyDescent="0.25">
      <c r="A71" s="94" t="s">
        <v>210</v>
      </c>
      <c r="B71" s="492" t="s">
        <v>120</v>
      </c>
      <c r="C71" s="522" t="s">
        <v>408</v>
      </c>
      <c r="D71" s="495" t="s">
        <v>184</v>
      </c>
      <c r="E71" s="495">
        <v>29.98</v>
      </c>
      <c r="F71" s="513">
        <f>COMPOSIÇÕES!H336</f>
        <v>41.366220000000006</v>
      </c>
      <c r="G71" s="513">
        <f t="shared" si="4"/>
        <v>1240.1592756000002</v>
      </c>
      <c r="H71" s="54">
        <f t="shared" si="0"/>
        <v>2.1484351872189805E-3</v>
      </c>
      <c r="I71" s="457"/>
      <c r="J71" s="457"/>
    </row>
    <row r="72" spans="1:10" s="93" customFormat="1" ht="36" x14ac:dyDescent="0.25">
      <c r="A72" s="94" t="s">
        <v>211</v>
      </c>
      <c r="B72" s="492" t="s">
        <v>401</v>
      </c>
      <c r="C72" s="522" t="s">
        <v>400</v>
      </c>
      <c r="D72" s="495" t="s">
        <v>188</v>
      </c>
      <c r="E72" s="495">
        <v>2.88</v>
      </c>
      <c r="F72" s="513">
        <v>345.47</v>
      </c>
      <c r="G72" s="513">
        <f t="shared" si="4"/>
        <v>994.95360000000005</v>
      </c>
      <c r="H72" s="54">
        <f t="shared" si="0"/>
        <v>1.7236441850229372E-3</v>
      </c>
      <c r="I72" s="457"/>
      <c r="J72" s="457"/>
    </row>
    <row r="73" spans="1:10" s="93" customFormat="1" ht="36.75" thickBot="1" x14ac:dyDescent="0.3">
      <c r="A73" s="94" t="s">
        <v>212</v>
      </c>
      <c r="B73" s="492" t="s">
        <v>414</v>
      </c>
      <c r="C73" s="522" t="s">
        <v>402</v>
      </c>
      <c r="D73" s="495" t="s">
        <v>188</v>
      </c>
      <c r="E73" s="495">
        <v>2.88</v>
      </c>
      <c r="F73" s="513">
        <v>155.84</v>
      </c>
      <c r="G73" s="513">
        <f t="shared" si="4"/>
        <v>448.81919999999997</v>
      </c>
      <c r="H73" s="54">
        <f t="shared" si="0"/>
        <v>7.7752832313652273E-4</v>
      </c>
      <c r="I73" s="457"/>
      <c r="J73" s="457"/>
    </row>
    <row r="74" spans="1:10" s="93" customFormat="1" ht="18.75" thickBot="1" x14ac:dyDescent="0.3">
      <c r="A74" s="56"/>
      <c r="B74" s="56"/>
      <c r="C74" s="472" t="s">
        <v>411</v>
      </c>
      <c r="D74" s="56"/>
      <c r="E74" s="56"/>
      <c r="F74" s="56"/>
      <c r="G74" s="56">
        <f t="shared" si="4"/>
        <v>0</v>
      </c>
      <c r="H74" s="54">
        <f t="shared" si="0"/>
        <v>0</v>
      </c>
      <c r="I74" s="457"/>
      <c r="J74" s="457"/>
    </row>
    <row r="75" spans="1:10" s="93" customFormat="1" ht="36" x14ac:dyDescent="0.25">
      <c r="A75" s="94" t="s">
        <v>213</v>
      </c>
      <c r="B75" s="492" t="s">
        <v>415</v>
      </c>
      <c r="C75" s="525" t="s">
        <v>412</v>
      </c>
      <c r="D75" s="491" t="s">
        <v>1</v>
      </c>
      <c r="E75" s="531">
        <v>61.46</v>
      </c>
      <c r="F75" s="513">
        <v>92.46</v>
      </c>
      <c r="G75" s="513">
        <f t="shared" si="4"/>
        <v>5682.5915999999997</v>
      </c>
      <c r="H75" s="54">
        <f t="shared" si="0"/>
        <v>9.8444449743185884E-3</v>
      </c>
      <c r="I75" s="457"/>
      <c r="J75" s="457"/>
    </row>
    <row r="76" spans="1:10" s="93" customFormat="1" ht="36" x14ac:dyDescent="0.25">
      <c r="A76" s="94" t="s">
        <v>214</v>
      </c>
      <c r="B76" s="492" t="s">
        <v>401</v>
      </c>
      <c r="C76" s="525" t="s">
        <v>400</v>
      </c>
      <c r="D76" s="491" t="s">
        <v>112</v>
      </c>
      <c r="E76" s="531">
        <v>7.6E-3</v>
      </c>
      <c r="F76" s="513">
        <v>345.47</v>
      </c>
      <c r="G76" s="513">
        <f t="shared" si="4"/>
        <v>2.625572</v>
      </c>
      <c r="H76" s="54">
        <f t="shared" si="0"/>
        <v>4.5485054882549732E-6</v>
      </c>
      <c r="I76" s="457"/>
      <c r="J76" s="457"/>
    </row>
    <row r="77" spans="1:10" s="93" customFormat="1" ht="36" x14ac:dyDescent="0.25">
      <c r="A77" s="94" t="s">
        <v>215</v>
      </c>
      <c r="B77" s="492" t="s">
        <v>414</v>
      </c>
      <c r="C77" s="525" t="s">
        <v>402</v>
      </c>
      <c r="D77" s="491" t="s">
        <v>112</v>
      </c>
      <c r="E77" s="531">
        <f>E76</f>
        <v>7.6E-3</v>
      </c>
      <c r="F77" s="513">
        <v>155.84</v>
      </c>
      <c r="G77" s="513">
        <f t="shared" si="4"/>
        <v>1.1843840000000001</v>
      </c>
      <c r="H77" s="54">
        <f t="shared" ref="H77:H140" si="5">G77/$G$155</f>
        <v>2.0518108527213798E-6</v>
      </c>
      <c r="I77" s="457"/>
      <c r="J77" s="457"/>
    </row>
    <row r="78" spans="1:10" s="93" customFormat="1" ht="36.75" thickBot="1" x14ac:dyDescent="0.3">
      <c r="A78" s="94" t="s">
        <v>216</v>
      </c>
      <c r="B78" s="492" t="s">
        <v>416</v>
      </c>
      <c r="C78" s="525" t="s">
        <v>413</v>
      </c>
      <c r="D78" s="491" t="s">
        <v>193</v>
      </c>
      <c r="E78" s="531">
        <v>57</v>
      </c>
      <c r="F78" s="513">
        <v>16.22</v>
      </c>
      <c r="G78" s="513">
        <f t="shared" si="4"/>
        <v>924.54</v>
      </c>
      <c r="H78" s="54">
        <f t="shared" si="5"/>
        <v>1.6016606149483817E-3</v>
      </c>
      <c r="I78" s="457"/>
      <c r="J78" s="457"/>
    </row>
    <row r="79" spans="1:10" s="93" customFormat="1" ht="18.75" thickBot="1" x14ac:dyDescent="0.3">
      <c r="A79" s="56"/>
      <c r="B79" s="56"/>
      <c r="C79" s="472" t="s">
        <v>417</v>
      </c>
      <c r="D79" s="56"/>
      <c r="E79" s="56"/>
      <c r="F79" s="56"/>
      <c r="G79" s="56">
        <f t="shared" si="4"/>
        <v>0</v>
      </c>
      <c r="H79" s="54">
        <f t="shared" si="5"/>
        <v>0</v>
      </c>
      <c r="I79" s="457"/>
      <c r="J79" s="457"/>
    </row>
    <row r="80" spans="1:10" s="93" customFormat="1" ht="18" x14ac:dyDescent="0.25">
      <c r="A80" s="94" t="s">
        <v>217</v>
      </c>
      <c r="B80" s="492" t="s">
        <v>120</v>
      </c>
      <c r="C80" s="522" t="str">
        <f>UPPER("Impermeabilizaçao com vedapren branco ou similar, para lajes, 06 demaõs")</f>
        <v>IMPERMEABILIZAÇAO COM VEDAPREN BRANCO OU SIMILAR, PARA LAJES, 06 DEMAÕS</v>
      </c>
      <c r="D80" s="495" t="s">
        <v>1</v>
      </c>
      <c r="E80" s="495">
        <f>6.03*3.27+E84</f>
        <v>35.528100000000002</v>
      </c>
      <c r="F80" s="496">
        <f>COMPOSIÇÕES!H356</f>
        <v>44.038900000000005</v>
      </c>
      <c r="G80" s="524">
        <f t="shared" si="4"/>
        <v>1564.6184430900003</v>
      </c>
      <c r="H80" s="54">
        <f t="shared" si="5"/>
        <v>2.7105238688635534E-3</v>
      </c>
      <c r="I80" s="457"/>
      <c r="J80" s="457"/>
    </row>
    <row r="81" spans="1:10" s="93" customFormat="1" ht="54" x14ac:dyDescent="0.25">
      <c r="A81" s="94" t="s">
        <v>218</v>
      </c>
      <c r="B81" s="492" t="s">
        <v>120</v>
      </c>
      <c r="C81" s="522" t="s">
        <v>418</v>
      </c>
      <c r="D81" s="495" t="s">
        <v>1</v>
      </c>
      <c r="E81" s="495">
        <f>E83</f>
        <v>19.7181</v>
      </c>
      <c r="F81" s="496">
        <f>COMPOSIÇÕES!H367</f>
        <v>15.000641</v>
      </c>
      <c r="G81" s="524">
        <f t="shared" si="4"/>
        <v>295.78413930210002</v>
      </c>
      <c r="H81" s="54">
        <f t="shared" si="5"/>
        <v>5.1241244991734195E-4</v>
      </c>
      <c r="I81" s="457"/>
      <c r="J81" s="457"/>
    </row>
    <row r="82" spans="1:10" s="93" customFormat="1" ht="18" x14ac:dyDescent="0.25">
      <c r="A82" s="94" t="s">
        <v>219</v>
      </c>
      <c r="B82" s="492" t="s">
        <v>120</v>
      </c>
      <c r="C82" s="522" t="s">
        <v>419</v>
      </c>
      <c r="D82" s="495" t="s">
        <v>1</v>
      </c>
      <c r="E82" s="495">
        <f>E83</f>
        <v>19.7181</v>
      </c>
      <c r="F82" s="496">
        <f>COMPOSIÇÕES!H376</f>
        <v>17.655429999999999</v>
      </c>
      <c r="G82" s="524">
        <f t="shared" si="4"/>
        <v>348.13153428299995</v>
      </c>
      <c r="H82" s="54">
        <f t="shared" si="5"/>
        <v>6.0309837030591792E-4</v>
      </c>
      <c r="I82" s="457"/>
      <c r="J82" s="457"/>
    </row>
    <row r="83" spans="1:10" s="93" customFormat="1" ht="18" x14ac:dyDescent="0.25">
      <c r="A83" s="94" t="s">
        <v>220</v>
      </c>
      <c r="B83" s="492" t="s">
        <v>443</v>
      </c>
      <c r="C83" s="522" t="str">
        <f>UPPER("Telhamento com telha de fibrocimento ondulada esp = 8mm")</f>
        <v>TELHAMENTO COM TELHA DE FIBROCIMENTO ONDULADA ESP = 8MM</v>
      </c>
      <c r="D83" s="495" t="s">
        <v>1</v>
      </c>
      <c r="E83" s="495">
        <f>6.03*3.27</f>
        <v>19.7181</v>
      </c>
      <c r="F83" s="496">
        <v>53.38</v>
      </c>
      <c r="G83" s="524">
        <f t="shared" si="4"/>
        <v>1052.5521780000001</v>
      </c>
      <c r="H83" s="54">
        <f t="shared" si="5"/>
        <v>1.8234271839841854E-3</v>
      </c>
      <c r="I83" s="457"/>
      <c r="J83" s="457"/>
    </row>
    <row r="84" spans="1:10" s="93" customFormat="1" ht="18.75" thickBot="1" x14ac:dyDescent="0.3">
      <c r="A84" s="94" t="s">
        <v>221</v>
      </c>
      <c r="B84" s="492" t="s">
        <v>415</v>
      </c>
      <c r="C84" s="522" t="s">
        <v>420</v>
      </c>
      <c r="D84" s="495" t="s">
        <v>1</v>
      </c>
      <c r="E84" s="495">
        <f>0.85*(6.03+3.27)*2</f>
        <v>15.81</v>
      </c>
      <c r="F84" s="496">
        <v>92.46</v>
      </c>
      <c r="G84" s="524">
        <f t="shared" si="4"/>
        <v>1461.7926</v>
      </c>
      <c r="H84" s="54">
        <f t="shared" si="5"/>
        <v>2.5323897664168062E-3</v>
      </c>
      <c r="I84" s="457"/>
      <c r="J84" s="457"/>
    </row>
    <row r="85" spans="1:10" s="93" customFormat="1" ht="18.75" thickBot="1" x14ac:dyDescent="0.3">
      <c r="A85" s="56"/>
      <c r="B85" s="56"/>
      <c r="C85" s="472" t="s">
        <v>435</v>
      </c>
      <c r="D85" s="56"/>
      <c r="E85" s="56"/>
      <c r="F85" s="56"/>
      <c r="G85" s="56">
        <f t="shared" si="4"/>
        <v>0</v>
      </c>
      <c r="H85" s="54">
        <f t="shared" si="5"/>
        <v>0</v>
      </c>
      <c r="I85" s="457"/>
      <c r="J85" s="457"/>
    </row>
    <row r="86" spans="1:10" s="93" customFormat="1" ht="54" x14ac:dyDescent="0.25">
      <c r="A86" s="94" t="s">
        <v>222</v>
      </c>
      <c r="B86" s="492" t="s">
        <v>440</v>
      </c>
      <c r="C86" s="522" t="s">
        <v>436</v>
      </c>
      <c r="D86" s="495" t="s">
        <v>1</v>
      </c>
      <c r="E86" s="495">
        <v>190.06</v>
      </c>
      <c r="F86" s="513">
        <v>7.15</v>
      </c>
      <c r="G86" s="513">
        <f t="shared" si="4"/>
        <v>1358.9290000000001</v>
      </c>
      <c r="H86" s="54">
        <f t="shared" si="5"/>
        <v>2.3541902544088841E-3</v>
      </c>
      <c r="I86" s="457"/>
      <c r="J86" s="457"/>
    </row>
    <row r="87" spans="1:10" s="93" customFormat="1" ht="54" x14ac:dyDescent="0.25">
      <c r="A87" s="94" t="s">
        <v>223</v>
      </c>
      <c r="B87" s="492" t="s">
        <v>441</v>
      </c>
      <c r="C87" s="522" t="s">
        <v>437</v>
      </c>
      <c r="D87" s="495" t="s">
        <v>1</v>
      </c>
      <c r="E87" s="495">
        <v>190.06</v>
      </c>
      <c r="F87" s="513">
        <f>COMPOSIÇÕES!H385</f>
        <v>29.420552000000001</v>
      </c>
      <c r="G87" s="513">
        <f t="shared" si="4"/>
        <v>5591.6701131199998</v>
      </c>
      <c r="H87" s="54">
        <f t="shared" si="5"/>
        <v>9.6869338178643075E-3</v>
      </c>
      <c r="I87" s="457"/>
      <c r="J87" s="457"/>
    </row>
    <row r="88" spans="1:10" s="93" customFormat="1" ht="18" x14ac:dyDescent="0.25">
      <c r="A88" s="94" t="s">
        <v>224</v>
      </c>
      <c r="B88" s="492" t="s">
        <v>442</v>
      </c>
      <c r="C88" s="522" t="s">
        <v>438</v>
      </c>
      <c r="D88" s="495" t="s">
        <v>1</v>
      </c>
      <c r="E88" s="495">
        <v>190.06</v>
      </c>
      <c r="F88" s="513">
        <v>2.13</v>
      </c>
      <c r="G88" s="513">
        <f t="shared" si="4"/>
        <v>404.82779999999997</v>
      </c>
      <c r="H88" s="54">
        <f t="shared" si="5"/>
        <v>7.0131821564908001E-4</v>
      </c>
      <c r="I88" s="457"/>
      <c r="J88" s="457"/>
    </row>
    <row r="89" spans="1:10" s="93" customFormat="1" ht="36" x14ac:dyDescent="0.25">
      <c r="A89" s="94" t="s">
        <v>225</v>
      </c>
      <c r="B89" s="492" t="s">
        <v>120</v>
      </c>
      <c r="C89" s="522" t="str">
        <f>UPPER("Emassamento de superfície, com aplicação de 01 demão de massa acrílica, lixamento e retoques - Rev 03")</f>
        <v>EMASSAMENTO DE SUPERFÍCIE, COM APLICAÇÃO DE 01 DEMÃO DE MASSA ACRÍLICA, LIXAMENTO E RETOQUES - REV 03</v>
      </c>
      <c r="D89" s="495" t="s">
        <v>1</v>
      </c>
      <c r="E89" s="495">
        <v>190.06</v>
      </c>
      <c r="F89" s="513">
        <f>COMPOSIÇÕES!H400</f>
        <v>10.4712</v>
      </c>
      <c r="G89" s="513">
        <f t="shared" si="4"/>
        <v>1990.1562719999999</v>
      </c>
      <c r="H89" s="54">
        <f t="shared" si="5"/>
        <v>3.4477198590162662E-3</v>
      </c>
      <c r="I89" s="457"/>
      <c r="J89" s="457"/>
    </row>
    <row r="90" spans="1:10" s="93" customFormat="1" ht="36.75" thickBot="1" x14ac:dyDescent="0.3">
      <c r="A90" s="94" t="s">
        <v>226</v>
      </c>
      <c r="B90" s="492" t="s">
        <v>448</v>
      </c>
      <c r="C90" s="522" t="s">
        <v>439</v>
      </c>
      <c r="D90" s="495" t="s">
        <v>1</v>
      </c>
      <c r="E90" s="495">
        <v>190.06</v>
      </c>
      <c r="F90" s="513">
        <v>11.53</v>
      </c>
      <c r="G90" s="513">
        <f t="shared" si="4"/>
        <v>2191.3917999999999</v>
      </c>
      <c r="H90" s="54">
        <f t="shared" si="5"/>
        <v>3.7963375710957244E-3</v>
      </c>
      <c r="I90" s="457"/>
      <c r="J90" s="457"/>
    </row>
    <row r="91" spans="1:10" s="93" customFormat="1" ht="18.75" thickBot="1" x14ac:dyDescent="0.3">
      <c r="A91" s="56"/>
      <c r="B91" s="56"/>
      <c r="C91" s="472" t="s">
        <v>194</v>
      </c>
      <c r="D91" s="56"/>
      <c r="E91" s="56"/>
      <c r="F91" s="56"/>
      <c r="G91" s="56">
        <f t="shared" si="4"/>
        <v>0</v>
      </c>
      <c r="H91" s="54">
        <f t="shared" si="5"/>
        <v>0</v>
      </c>
      <c r="I91" s="457"/>
      <c r="J91" s="457"/>
    </row>
    <row r="92" spans="1:10" s="93" customFormat="1" ht="18" x14ac:dyDescent="0.25">
      <c r="A92" s="94" t="s">
        <v>227</v>
      </c>
      <c r="B92" s="492" t="s">
        <v>451</v>
      </c>
      <c r="C92" s="522" t="str">
        <f>UPPER("Cobogó de cimento, tipo escama, dim: 50 x 50cm")</f>
        <v>COBOGÓ DE CIMENTO, TIPO ESCAMA, DIM: 50 X 50CM</v>
      </c>
      <c r="D92" s="495" t="s">
        <v>1</v>
      </c>
      <c r="E92" s="495">
        <f>2.5*1.5</f>
        <v>3.75</v>
      </c>
      <c r="F92" s="513">
        <v>101.55</v>
      </c>
      <c r="G92" s="513">
        <f t="shared" si="4"/>
        <v>380.8125</v>
      </c>
      <c r="H92" s="54">
        <f t="shared" si="5"/>
        <v>6.5971443412943807E-4</v>
      </c>
      <c r="I92" s="457"/>
      <c r="J92" s="457"/>
    </row>
    <row r="93" spans="1:10" s="93" customFormat="1" ht="18" x14ac:dyDescent="0.25">
      <c r="A93" s="94" t="s">
        <v>228</v>
      </c>
      <c r="B93" s="492" t="s">
        <v>120</v>
      </c>
      <c r="C93" s="522" t="str">
        <f>UPPER("Tela mosquiteiro galvanizada, malha 14, fio 30")</f>
        <v>TELA MOSQUITEIRO GALVANIZADA, MALHA 14, FIO 30</v>
      </c>
      <c r="D93" s="495" t="s">
        <v>1</v>
      </c>
      <c r="E93" s="495">
        <f>2.7*1.7</f>
        <v>4.59</v>
      </c>
      <c r="F93" s="513">
        <f>COMPOSIÇÕES!H407</f>
        <v>123.23600000000002</v>
      </c>
      <c r="G93" s="513">
        <f t="shared" si="4"/>
        <v>565.6532400000001</v>
      </c>
      <c r="H93" s="54">
        <f t="shared" si="5"/>
        <v>9.7993003680310717E-4</v>
      </c>
      <c r="I93" s="457"/>
      <c r="J93" s="457"/>
    </row>
    <row r="94" spans="1:10" s="93" customFormat="1" ht="18" x14ac:dyDescent="0.25">
      <c r="A94" s="94" t="s">
        <v>229</v>
      </c>
      <c r="B94" s="492" t="s">
        <v>120</v>
      </c>
      <c r="C94" s="522" t="s">
        <v>449</v>
      </c>
      <c r="D94" s="495" t="s">
        <v>2</v>
      </c>
      <c r="E94" s="495">
        <v>2</v>
      </c>
      <c r="F94" s="513">
        <f>COMPOSIÇÕES!H414</f>
        <v>834.68156599999998</v>
      </c>
      <c r="G94" s="513">
        <f t="shared" si="4"/>
        <v>1669.363132</v>
      </c>
      <c r="H94" s="54">
        <f t="shared" si="5"/>
        <v>2.8919821539049434E-3</v>
      </c>
      <c r="I94" s="457"/>
      <c r="J94" s="457"/>
    </row>
    <row r="95" spans="1:10" s="93" customFormat="1" ht="54.75" thickBot="1" x14ac:dyDescent="0.3">
      <c r="A95" s="94" t="s">
        <v>230</v>
      </c>
      <c r="B95" s="492" t="s">
        <v>458</v>
      </c>
      <c r="C95" s="522" t="s">
        <v>450</v>
      </c>
      <c r="D95" s="495" t="s">
        <v>1</v>
      </c>
      <c r="E95" s="495">
        <f>E94*0.9*2.1*2</f>
        <v>7.5600000000000005</v>
      </c>
      <c r="F95" s="513">
        <v>35.090000000000003</v>
      </c>
      <c r="G95" s="513">
        <f t="shared" si="4"/>
        <v>265.28040000000004</v>
      </c>
      <c r="H95" s="54">
        <f t="shared" si="5"/>
        <v>4.5956818374299954E-4</v>
      </c>
      <c r="I95" s="457"/>
      <c r="J95" s="457"/>
    </row>
    <row r="96" spans="1:10" s="93" customFormat="1" ht="18.75" thickBot="1" x14ac:dyDescent="0.3">
      <c r="A96" s="56"/>
      <c r="B96" s="56"/>
      <c r="C96" s="472" t="s">
        <v>459</v>
      </c>
      <c r="D96" s="56"/>
      <c r="E96" s="56"/>
      <c r="F96" s="56"/>
      <c r="G96" s="56">
        <f t="shared" si="4"/>
        <v>0</v>
      </c>
      <c r="H96" s="54">
        <f t="shared" si="5"/>
        <v>0</v>
      </c>
      <c r="I96" s="457"/>
      <c r="J96" s="457"/>
    </row>
    <row r="97" spans="1:10" s="93" customFormat="1" ht="18" x14ac:dyDescent="0.25">
      <c r="A97" s="94" t="s">
        <v>231</v>
      </c>
      <c r="B97" s="492" t="s">
        <v>463</v>
      </c>
      <c r="C97" s="522" t="s">
        <v>276</v>
      </c>
      <c r="D97" s="495" t="s">
        <v>112</v>
      </c>
      <c r="E97" s="495">
        <v>0.6</v>
      </c>
      <c r="F97" s="513">
        <v>60.53</v>
      </c>
      <c r="G97" s="513">
        <f t="shared" si="4"/>
        <v>36.317999999999998</v>
      </c>
      <c r="H97" s="54">
        <f t="shared" si="5"/>
        <v>6.2916812916364166E-5</v>
      </c>
      <c r="I97" s="457"/>
      <c r="J97" s="457"/>
    </row>
    <row r="98" spans="1:10" s="93" customFormat="1" ht="36" x14ac:dyDescent="0.25">
      <c r="A98" s="94" t="s">
        <v>232</v>
      </c>
      <c r="B98" s="492" t="s">
        <v>120</v>
      </c>
      <c r="C98" s="522" t="s">
        <v>462</v>
      </c>
      <c r="D98" s="495" t="s">
        <v>1</v>
      </c>
      <c r="E98" s="495">
        <v>12</v>
      </c>
      <c r="F98" s="513">
        <f>COMPOSIÇÕES!H421</f>
        <v>7.2721999999999998</v>
      </c>
      <c r="G98" s="513">
        <f t="shared" si="4"/>
        <v>87.266400000000004</v>
      </c>
      <c r="H98" s="54">
        <f t="shared" si="5"/>
        <v>1.5117913328610062E-4</v>
      </c>
      <c r="I98" s="457"/>
      <c r="J98" s="457"/>
    </row>
    <row r="99" spans="1:10" s="93" customFormat="1" ht="36" x14ac:dyDescent="0.25">
      <c r="A99" s="94" t="s">
        <v>233</v>
      </c>
      <c r="B99" s="492" t="s">
        <v>120</v>
      </c>
      <c r="C99" s="522" t="s">
        <v>460</v>
      </c>
      <c r="D99" s="495" t="s">
        <v>1</v>
      </c>
      <c r="E99" s="495">
        <v>12</v>
      </c>
      <c r="F99" s="513">
        <f>COMPOSIÇÕES!H434</f>
        <v>130.80670000000001</v>
      </c>
      <c r="G99" s="513">
        <f t="shared" si="4"/>
        <v>1569.6804000000002</v>
      </c>
      <c r="H99" s="54">
        <f t="shared" si="5"/>
        <v>2.7192931346793239E-3</v>
      </c>
      <c r="I99" s="457"/>
      <c r="J99" s="457"/>
    </row>
    <row r="100" spans="1:10" s="93" customFormat="1" ht="18.75" thickBot="1" x14ac:dyDescent="0.3">
      <c r="A100" s="94" t="s">
        <v>234</v>
      </c>
      <c r="B100" s="492" t="s">
        <v>120</v>
      </c>
      <c r="C100" s="522" t="s">
        <v>461</v>
      </c>
      <c r="D100" s="495" t="s">
        <v>1</v>
      </c>
      <c r="E100" s="495">
        <v>12</v>
      </c>
      <c r="F100" s="513">
        <f>COMPOSIÇÕES!H441</f>
        <v>1.5173700000000001</v>
      </c>
      <c r="G100" s="513">
        <f t="shared" si="4"/>
        <v>18.208440000000003</v>
      </c>
      <c r="H100" s="54">
        <f t="shared" si="5"/>
        <v>3.1544055646754838E-5</v>
      </c>
      <c r="I100" s="457"/>
      <c r="J100" s="457"/>
    </row>
    <row r="101" spans="1:10" s="93" customFormat="1" ht="18.75" thickBot="1" x14ac:dyDescent="0.3">
      <c r="A101" s="90"/>
      <c r="B101" s="56"/>
      <c r="C101" s="329" t="s">
        <v>195</v>
      </c>
      <c r="D101" s="57"/>
      <c r="E101" s="288"/>
      <c r="F101" s="283"/>
      <c r="G101" s="56">
        <f t="shared" si="4"/>
        <v>0</v>
      </c>
      <c r="H101" s="54">
        <f t="shared" si="5"/>
        <v>0</v>
      </c>
      <c r="I101" s="457"/>
      <c r="J101" s="457"/>
    </row>
    <row r="102" spans="1:10" s="93" customFormat="1" ht="18.75" thickBot="1" x14ac:dyDescent="0.3">
      <c r="A102" s="465"/>
      <c r="B102" s="466"/>
      <c r="C102" s="467" t="s">
        <v>473</v>
      </c>
      <c r="D102" s="468"/>
      <c r="E102" s="469"/>
      <c r="F102" s="470"/>
      <c r="G102" s="56">
        <f t="shared" si="4"/>
        <v>0</v>
      </c>
      <c r="H102" s="54">
        <f t="shared" si="5"/>
        <v>0</v>
      </c>
      <c r="I102" s="457"/>
      <c r="J102" s="457"/>
    </row>
    <row r="103" spans="1:10" s="93" customFormat="1" ht="18" x14ac:dyDescent="0.25">
      <c r="A103" s="94" t="s">
        <v>235</v>
      </c>
      <c r="B103" s="492" t="s">
        <v>463</v>
      </c>
      <c r="C103" s="522" t="s">
        <v>276</v>
      </c>
      <c r="D103" s="495" t="s">
        <v>112</v>
      </c>
      <c r="E103" s="495">
        <v>21.84</v>
      </c>
      <c r="F103" s="513">
        <v>60.53</v>
      </c>
      <c r="G103" s="513">
        <f t="shared" si="4"/>
        <v>1321.9752000000001</v>
      </c>
      <c r="H103" s="54">
        <f t="shared" si="5"/>
        <v>2.290171990155656E-3</v>
      </c>
      <c r="I103" s="457"/>
      <c r="J103" s="457"/>
    </row>
    <row r="104" spans="1:10" s="93" customFormat="1" ht="18" x14ac:dyDescent="0.25">
      <c r="A104" s="94" t="s">
        <v>236</v>
      </c>
      <c r="B104" s="492" t="s">
        <v>475</v>
      </c>
      <c r="C104" s="522" t="s">
        <v>336</v>
      </c>
      <c r="D104" s="495" t="s">
        <v>1</v>
      </c>
      <c r="E104" s="495">
        <f>(E105+E106)*0.3</f>
        <v>54.6</v>
      </c>
      <c r="F104" s="513">
        <v>27.77</v>
      </c>
      <c r="G104" s="513">
        <f t="shared" si="4"/>
        <v>1516.242</v>
      </c>
      <c r="H104" s="54">
        <f t="shared" si="5"/>
        <v>2.6267171719239453E-3</v>
      </c>
      <c r="I104" s="457"/>
      <c r="J104" s="457"/>
    </row>
    <row r="105" spans="1:10" s="93" customFormat="1" ht="36" x14ac:dyDescent="0.25">
      <c r="A105" s="94" t="s">
        <v>237</v>
      </c>
      <c r="B105" s="492" t="s">
        <v>120</v>
      </c>
      <c r="C105" s="522" t="str">
        <f>UPPER("Duto corrugado flexível em PEAD Ø = 4, tipo Kanalex ou similar, lançado diretamente no solo, exclusive escavação e reaterro")</f>
        <v>DUTO CORRUGADO FLEXÍVEL EM PEAD Ø = 4, TIPO KANALEX OU SIMILAR, LANÇADO DIRETAMENTE NO SOLO, EXCLUSIVE ESCAVAÇÃO E REATERRO</v>
      </c>
      <c r="D105" s="495" t="s">
        <v>107</v>
      </c>
      <c r="E105" s="495">
        <v>22</v>
      </c>
      <c r="F105" s="513">
        <f>COMPOSIÇÕES!H448</f>
        <v>62.029349999999994</v>
      </c>
      <c r="G105" s="513">
        <f t="shared" si="4"/>
        <v>1364.6456999999998</v>
      </c>
      <c r="H105" s="54">
        <f t="shared" si="5"/>
        <v>2.3640937883149075E-3</v>
      </c>
      <c r="I105" s="457"/>
      <c r="J105" s="457"/>
    </row>
    <row r="106" spans="1:10" s="93" customFormat="1" ht="36" x14ac:dyDescent="0.25">
      <c r="A106" s="94" t="s">
        <v>238</v>
      </c>
      <c r="B106" s="492" t="s">
        <v>120</v>
      </c>
      <c r="C106" s="522" t="str">
        <f>UPPER("Duto corrugado flexível em PEAD Ø = 3, tipo Kanalex ou similar, lançado diretamente no solo, exclusive escavação e reaterro")</f>
        <v>DUTO CORRUGADO FLEXÍVEL EM PEAD Ø = 3, TIPO KANALEX OU SIMILAR, LANÇADO DIRETAMENTE NO SOLO, EXCLUSIVE ESCAVAÇÃO E REATERRO</v>
      </c>
      <c r="D106" s="495" t="s">
        <v>107</v>
      </c>
      <c r="E106" s="495">
        <v>160</v>
      </c>
      <c r="F106" s="513">
        <f>COMPOSIÇÕES!H455</f>
        <v>11.857899999999999</v>
      </c>
      <c r="G106" s="513">
        <f t="shared" si="4"/>
        <v>1897.2639999999999</v>
      </c>
      <c r="H106" s="54">
        <f t="shared" si="5"/>
        <v>3.2867945410251869E-3</v>
      </c>
      <c r="I106" s="457"/>
      <c r="J106" s="457"/>
    </row>
    <row r="107" spans="1:10" s="93" customFormat="1" ht="36" x14ac:dyDescent="0.25">
      <c r="A107" s="94" t="s">
        <v>480</v>
      </c>
      <c r="B107" s="492" t="s">
        <v>120</v>
      </c>
      <c r="C107" s="522" t="str">
        <f>UPPER("Caixa de passagem em alvenaria de tijolos maciços esp. = 0,17m, dim. int. = 0.80 x 0.80 x 1.00m")</f>
        <v>CAIXA DE PASSAGEM EM ALVENARIA DE TIJOLOS MACIÇOS ESP. = 0,17M, DIM. INT. = 0.80 X 0.80 X 1.00M</v>
      </c>
      <c r="D107" s="495" t="s">
        <v>2</v>
      </c>
      <c r="E107" s="495">
        <v>2</v>
      </c>
      <c r="F107" s="513">
        <f>COMPOSIÇÕES!H465</f>
        <v>938.56228299999998</v>
      </c>
      <c r="G107" s="513">
        <f t="shared" si="4"/>
        <v>1877.124566</v>
      </c>
      <c r="H107" s="54">
        <f t="shared" si="5"/>
        <v>3.2519052574407534E-3</v>
      </c>
      <c r="I107" s="457"/>
      <c r="J107" s="457"/>
    </row>
    <row r="108" spans="1:10" s="93" customFormat="1" ht="36" x14ac:dyDescent="0.25">
      <c r="A108" s="94" t="s">
        <v>481</v>
      </c>
      <c r="B108" s="492" t="s">
        <v>496</v>
      </c>
      <c r="C108" s="522" t="str">
        <f>UPPER("Caixa de passagem em alvenaria de tijolos maciços esp. = 0,12m, dim. int. = 0.40 x 0.40 x 0.40m")</f>
        <v>CAIXA DE PASSAGEM EM ALVENARIA DE TIJOLOS MACIÇOS ESP. = 0,12M, DIM. INT. = 0.40 X 0.40 X 0.40M</v>
      </c>
      <c r="D108" s="495" t="s">
        <v>2</v>
      </c>
      <c r="E108" s="495">
        <v>6</v>
      </c>
      <c r="F108" s="513">
        <v>186.24</v>
      </c>
      <c r="G108" s="513">
        <f t="shared" si="4"/>
        <v>1117.44</v>
      </c>
      <c r="H108" s="54">
        <f t="shared" si="5"/>
        <v>1.9358379708481188E-3</v>
      </c>
      <c r="I108" s="457"/>
      <c r="J108" s="457"/>
    </row>
    <row r="109" spans="1:10" s="93" customFormat="1" ht="18" x14ac:dyDescent="0.25">
      <c r="A109" s="94" t="s">
        <v>482</v>
      </c>
      <c r="B109" s="492" t="s">
        <v>498</v>
      </c>
      <c r="C109" s="522" t="s">
        <v>474</v>
      </c>
      <c r="D109" s="495" t="s">
        <v>112</v>
      </c>
      <c r="E109" s="495">
        <f>E103</f>
        <v>21.84</v>
      </c>
      <c r="F109" s="513">
        <v>36.69</v>
      </c>
      <c r="G109" s="513">
        <f t="shared" si="4"/>
        <v>801.30959999999993</v>
      </c>
      <c r="H109" s="54">
        <f t="shared" si="5"/>
        <v>1.3881779335670082E-3</v>
      </c>
      <c r="I109" s="457"/>
      <c r="J109" s="457"/>
    </row>
    <row r="110" spans="1:10" s="93" customFormat="1" ht="36.75" thickBot="1" x14ac:dyDescent="0.3">
      <c r="A110" s="94" t="s">
        <v>483</v>
      </c>
      <c r="B110" s="492" t="s">
        <v>497</v>
      </c>
      <c r="C110" s="522" t="str">
        <f>UPPER("Compactação manual com compactador a percussão sapinho, sem controle do grau de compactação")</f>
        <v>COMPACTAÇÃO MANUAL COM COMPACTADOR A PERCUSSÃO SAPINHO, SEM CONTROLE DO GRAU DE COMPACTAÇÃO</v>
      </c>
      <c r="D110" s="495" t="s">
        <v>1</v>
      </c>
      <c r="E110" s="495">
        <f>E104</f>
        <v>54.6</v>
      </c>
      <c r="F110" s="513">
        <f>COMPOSIÇÕES!H421</f>
        <v>7.2721999999999998</v>
      </c>
      <c r="G110" s="513">
        <f t="shared" si="4"/>
        <v>397.06211999999999</v>
      </c>
      <c r="H110" s="54">
        <f t="shared" si="5"/>
        <v>6.8786505645175783E-4</v>
      </c>
      <c r="I110" s="457"/>
      <c r="J110" s="457"/>
    </row>
    <row r="111" spans="1:10" s="93" customFormat="1" ht="18.75" thickBot="1" x14ac:dyDescent="0.3">
      <c r="A111" s="56"/>
      <c r="B111" s="56"/>
      <c r="C111" s="472" t="s">
        <v>499</v>
      </c>
      <c r="D111" s="56"/>
      <c r="E111" s="56"/>
      <c r="F111" s="56"/>
      <c r="G111" s="56">
        <f t="shared" si="4"/>
        <v>0</v>
      </c>
      <c r="H111" s="54">
        <f t="shared" si="5"/>
        <v>0</v>
      </c>
      <c r="I111" s="457"/>
      <c r="J111" s="457"/>
    </row>
    <row r="112" spans="1:10" s="93" customFormat="1" ht="18" x14ac:dyDescent="0.25">
      <c r="A112" s="94" t="s">
        <v>522</v>
      </c>
      <c r="B112" s="492" t="s">
        <v>511</v>
      </c>
      <c r="C112" s="522" t="s">
        <v>500</v>
      </c>
      <c r="D112" s="495" t="s">
        <v>107</v>
      </c>
      <c r="E112" s="495">
        <v>140</v>
      </c>
      <c r="F112" s="513">
        <v>118.26</v>
      </c>
      <c r="G112" s="513">
        <f t="shared" si="4"/>
        <v>16556.400000000001</v>
      </c>
      <c r="H112" s="54">
        <f t="shared" si="5"/>
        <v>2.8682083852868877E-2</v>
      </c>
      <c r="I112" s="457"/>
      <c r="J112" s="457"/>
    </row>
    <row r="113" spans="1:10" s="93" customFormat="1" ht="18" x14ac:dyDescent="0.25">
      <c r="A113" s="94" t="s">
        <v>523</v>
      </c>
      <c r="B113" s="492" t="s">
        <v>512</v>
      </c>
      <c r="C113" s="522" t="s">
        <v>501</v>
      </c>
      <c r="D113" s="495" t="s">
        <v>107</v>
      </c>
      <c r="E113" s="495">
        <v>40</v>
      </c>
      <c r="F113" s="513">
        <v>68.98</v>
      </c>
      <c r="G113" s="513">
        <f t="shared" si="4"/>
        <v>2759.2000000000003</v>
      </c>
      <c r="H113" s="54">
        <f t="shared" si="5"/>
        <v>4.7800008315114278E-3</v>
      </c>
      <c r="I113" s="457"/>
      <c r="J113" s="457"/>
    </row>
    <row r="114" spans="1:10" s="93" customFormat="1" ht="18" x14ac:dyDescent="0.25">
      <c r="A114" s="94" t="s">
        <v>524</v>
      </c>
      <c r="B114" s="492" t="s">
        <v>513</v>
      </c>
      <c r="C114" s="522" t="s">
        <v>502</v>
      </c>
      <c r="D114" s="495" t="s">
        <v>107</v>
      </c>
      <c r="E114" s="495">
        <v>20</v>
      </c>
      <c r="F114" s="513">
        <v>117.08</v>
      </c>
      <c r="G114" s="513">
        <f t="shared" ref="G114:G140" si="6">E114*F114</f>
        <v>2341.6</v>
      </c>
      <c r="H114" s="54">
        <f t="shared" si="5"/>
        <v>4.0565562290037537E-3</v>
      </c>
      <c r="I114" s="457"/>
      <c r="J114" s="457"/>
    </row>
    <row r="115" spans="1:10" s="93" customFormat="1" ht="18" x14ac:dyDescent="0.25">
      <c r="A115" s="94" t="s">
        <v>525</v>
      </c>
      <c r="B115" s="492" t="s">
        <v>514</v>
      </c>
      <c r="C115" s="522" t="s">
        <v>503</v>
      </c>
      <c r="D115" s="495" t="s">
        <v>107</v>
      </c>
      <c r="E115" s="495">
        <v>15</v>
      </c>
      <c r="F115" s="513">
        <v>8.25</v>
      </c>
      <c r="G115" s="513">
        <f t="shared" si="6"/>
        <v>123.75</v>
      </c>
      <c r="H115" s="54">
        <f t="shared" si="5"/>
        <v>2.1438282940690749E-4</v>
      </c>
      <c r="I115" s="457"/>
      <c r="J115" s="457"/>
    </row>
    <row r="116" spans="1:10" s="93" customFormat="1" ht="18" x14ac:dyDescent="0.25">
      <c r="A116" s="94" t="s">
        <v>526</v>
      </c>
      <c r="B116" s="492" t="s">
        <v>515</v>
      </c>
      <c r="C116" s="522" t="s">
        <v>504</v>
      </c>
      <c r="D116" s="495" t="s">
        <v>107</v>
      </c>
      <c r="E116" s="495">
        <v>10</v>
      </c>
      <c r="F116" s="513">
        <v>34.58</v>
      </c>
      <c r="G116" s="513">
        <f t="shared" si="6"/>
        <v>345.79999999999995</v>
      </c>
      <c r="H116" s="54">
        <f t="shared" si="5"/>
        <v>5.9905925178916036E-4</v>
      </c>
      <c r="I116" s="457"/>
      <c r="J116" s="457"/>
    </row>
    <row r="117" spans="1:10" s="93" customFormat="1" ht="18" x14ac:dyDescent="0.25">
      <c r="A117" s="94" t="s">
        <v>527</v>
      </c>
      <c r="B117" s="492" t="s">
        <v>516</v>
      </c>
      <c r="C117" s="522" t="s">
        <v>505</v>
      </c>
      <c r="D117" s="495" t="s">
        <v>107</v>
      </c>
      <c r="E117" s="495">
        <v>600</v>
      </c>
      <c r="F117" s="513">
        <v>50.04</v>
      </c>
      <c r="G117" s="513">
        <f t="shared" si="6"/>
        <v>30024</v>
      </c>
      <c r="H117" s="54">
        <f t="shared" si="5"/>
        <v>5.2013172283741339E-2</v>
      </c>
      <c r="I117" s="457"/>
      <c r="J117" s="457"/>
    </row>
    <row r="118" spans="1:10" s="93" customFormat="1" ht="18" x14ac:dyDescent="0.25">
      <c r="A118" s="94" t="s">
        <v>528</v>
      </c>
      <c r="B118" s="492" t="s">
        <v>517</v>
      </c>
      <c r="C118" s="522" t="s">
        <v>506</v>
      </c>
      <c r="D118" s="495" t="s">
        <v>2</v>
      </c>
      <c r="E118" s="495">
        <v>32</v>
      </c>
      <c r="F118" s="513">
        <v>13.01</v>
      </c>
      <c r="G118" s="513">
        <f t="shared" si="6"/>
        <v>416.32</v>
      </c>
      <c r="H118" s="54">
        <f t="shared" si="5"/>
        <v>7.2122714778734319E-4</v>
      </c>
      <c r="I118" s="457"/>
      <c r="J118" s="457"/>
    </row>
    <row r="119" spans="1:10" s="93" customFormat="1" ht="18" x14ac:dyDescent="0.25">
      <c r="A119" s="94" t="s">
        <v>529</v>
      </c>
      <c r="B119" s="492" t="s">
        <v>518</v>
      </c>
      <c r="C119" s="522" t="s">
        <v>507</v>
      </c>
      <c r="D119" s="495" t="s">
        <v>2</v>
      </c>
      <c r="E119" s="495">
        <v>8</v>
      </c>
      <c r="F119" s="513">
        <v>5.13</v>
      </c>
      <c r="G119" s="513">
        <f t="shared" si="6"/>
        <v>41.04</v>
      </c>
      <c r="H119" s="54">
        <f t="shared" si="5"/>
        <v>7.1097141970581681E-5</v>
      </c>
      <c r="I119" s="457"/>
      <c r="J119" s="457"/>
    </row>
    <row r="120" spans="1:10" s="93" customFormat="1" ht="18" x14ac:dyDescent="0.25">
      <c r="A120" s="94" t="s">
        <v>530</v>
      </c>
      <c r="B120" s="492" t="s">
        <v>519</v>
      </c>
      <c r="C120" s="522" t="s">
        <v>508</v>
      </c>
      <c r="D120" s="495" t="s">
        <v>2</v>
      </c>
      <c r="E120" s="495">
        <v>2</v>
      </c>
      <c r="F120" s="513">
        <v>1.89</v>
      </c>
      <c r="G120" s="513">
        <f t="shared" si="6"/>
        <v>3.78</v>
      </c>
      <c r="H120" s="54">
        <f t="shared" si="5"/>
        <v>6.5484209709746286E-6</v>
      </c>
      <c r="I120" s="457"/>
      <c r="J120" s="457"/>
    </row>
    <row r="121" spans="1:10" s="93" customFormat="1" ht="18" x14ac:dyDescent="0.25">
      <c r="A121" s="94" t="s">
        <v>531</v>
      </c>
      <c r="B121" s="492" t="s">
        <v>520</v>
      </c>
      <c r="C121" s="522" t="s">
        <v>509</v>
      </c>
      <c r="D121" s="495" t="s">
        <v>2</v>
      </c>
      <c r="E121" s="495">
        <v>16</v>
      </c>
      <c r="F121" s="513">
        <v>4.2699999999999996</v>
      </c>
      <c r="G121" s="513">
        <f t="shared" si="6"/>
        <v>68.319999999999993</v>
      </c>
      <c r="H121" s="54">
        <f t="shared" si="5"/>
        <v>1.183566456976155E-4</v>
      </c>
      <c r="I121" s="457"/>
      <c r="J121" s="457"/>
    </row>
    <row r="122" spans="1:10" s="93" customFormat="1" ht="18.75" thickBot="1" x14ac:dyDescent="0.3">
      <c r="A122" s="94" t="s">
        <v>532</v>
      </c>
      <c r="B122" s="492" t="s">
        <v>521</v>
      </c>
      <c r="C122" s="522" t="s">
        <v>510</v>
      </c>
      <c r="D122" s="495" t="s">
        <v>2</v>
      </c>
      <c r="E122" s="495">
        <v>1</v>
      </c>
      <c r="F122" s="513">
        <v>366.18</v>
      </c>
      <c r="G122" s="513">
        <f t="shared" si="6"/>
        <v>366.18</v>
      </c>
      <c r="H122" s="54">
        <f t="shared" si="5"/>
        <v>6.3436528866441519E-4</v>
      </c>
      <c r="I122" s="457"/>
      <c r="J122" s="457"/>
    </row>
    <row r="123" spans="1:10" s="93" customFormat="1" ht="18.75" thickBot="1" x14ac:dyDescent="0.3">
      <c r="A123" s="56"/>
      <c r="B123" s="56"/>
      <c r="C123" s="472" t="s">
        <v>533</v>
      </c>
      <c r="D123" s="56"/>
      <c r="E123" s="56"/>
      <c r="F123" s="56"/>
      <c r="G123" s="56">
        <f t="shared" si="6"/>
        <v>0</v>
      </c>
      <c r="H123" s="54">
        <f t="shared" si="5"/>
        <v>0</v>
      </c>
      <c r="I123" s="457"/>
      <c r="J123" s="457"/>
    </row>
    <row r="124" spans="1:10" s="93" customFormat="1" ht="72" x14ac:dyDescent="0.25">
      <c r="A124" s="94" t="s">
        <v>541</v>
      </c>
      <c r="B124" s="492" t="s">
        <v>534</v>
      </c>
      <c r="C124" s="522" t="str">
        <f>UPPER("QGE - Quadro / Painel em chapa de aço com pintura eletrostática a pó poliester na cor BEGE, grau de proteção IP 54, com disjuntores, barramentos e acessórios de montagem - 600x500x200mm CONFORME DIAGRAMA - FORNECIMENTO E INSTALAÇÃO")</f>
        <v>QGE - QUADRO / PAINEL EM CHAPA DE AÇO COM PINTURA ELETROSTÁTICA A PÓ POLIESTER NA COR BEGE, GRAU DE PROTEÇÃO IP 54, COM DISJUNTORES, BARRAMENTOS E ACESSÓRIOS DE MONTAGEM - 600X500X200MM CONFORME DIAGRAMA - FORNECIMENTO E INSTALAÇÃO</v>
      </c>
      <c r="D124" s="495" t="s">
        <v>2</v>
      </c>
      <c r="E124" s="495">
        <v>1</v>
      </c>
      <c r="F124" s="513">
        <v>2547.94</v>
      </c>
      <c r="G124" s="513">
        <f t="shared" si="6"/>
        <v>2547.94</v>
      </c>
      <c r="H124" s="54">
        <f t="shared" si="5"/>
        <v>4.4140168594669566E-3</v>
      </c>
      <c r="I124" s="457"/>
      <c r="J124" s="457"/>
    </row>
    <row r="125" spans="1:10" s="93" customFormat="1" ht="54.75" thickBot="1" x14ac:dyDescent="0.3">
      <c r="A125" s="94" t="s">
        <v>542</v>
      </c>
      <c r="B125" s="492" t="s">
        <v>534</v>
      </c>
      <c r="C125" s="522" t="str">
        <f>UPPER("QTM - Quadro / Painel em chapa de aço com pintura eletrostática a pó na cor BEGE, grau de proteção IP 54, com disjuntores, barramentos e acessórios de montagem - CONFORME DIAGRAMA UNIFILAR - FORNECIMENTO E INSTALAÇÃO")</f>
        <v>QTM - QUADRO / PAINEL EM CHAPA DE AÇO COM PINTURA ELETROSTÁTICA A PÓ NA COR BEGE, GRAU DE PROTEÇÃO IP 54, COM DISJUNTORES, BARRAMENTOS E ACESSÓRIOS DE MONTAGEM - CONFORME DIAGRAMA UNIFILAR - FORNECIMENTO E INSTALAÇÃO</v>
      </c>
      <c r="D125" s="495" t="s">
        <v>2</v>
      </c>
      <c r="E125" s="495">
        <v>1</v>
      </c>
      <c r="F125" s="513">
        <v>2400</v>
      </c>
      <c r="G125" s="513">
        <f t="shared" si="6"/>
        <v>2400</v>
      </c>
      <c r="H125" s="54">
        <f t="shared" si="5"/>
        <v>4.1577276006188116E-3</v>
      </c>
      <c r="I125" s="457"/>
      <c r="J125" s="457"/>
    </row>
    <row r="126" spans="1:10" s="93" customFormat="1" ht="18.75" thickBot="1" x14ac:dyDescent="0.3">
      <c r="A126" s="56"/>
      <c r="B126" s="56"/>
      <c r="C126" s="472" t="s">
        <v>535</v>
      </c>
      <c r="D126" s="56"/>
      <c r="E126" s="56"/>
      <c r="F126" s="56"/>
      <c r="G126" s="56">
        <f t="shared" si="6"/>
        <v>0</v>
      </c>
      <c r="H126" s="54">
        <f t="shared" si="5"/>
        <v>0</v>
      </c>
      <c r="I126" s="457"/>
      <c r="J126" s="457"/>
    </row>
    <row r="127" spans="1:10" s="93" customFormat="1" ht="54" x14ac:dyDescent="0.25">
      <c r="A127" s="94" t="s">
        <v>543</v>
      </c>
      <c r="B127" s="492" t="s">
        <v>539</v>
      </c>
      <c r="C127" s="522" t="s">
        <v>536</v>
      </c>
      <c r="D127" s="495" t="s">
        <v>2</v>
      </c>
      <c r="E127" s="495">
        <v>1</v>
      </c>
      <c r="F127" s="513">
        <v>172.82</v>
      </c>
      <c r="G127" s="513">
        <f t="shared" si="6"/>
        <v>172.82</v>
      </c>
      <c r="H127" s="54">
        <f t="shared" si="5"/>
        <v>2.9939103497455958E-4</v>
      </c>
      <c r="I127" s="457"/>
      <c r="J127" s="457"/>
    </row>
    <row r="128" spans="1:10" s="93" customFormat="1" ht="36" x14ac:dyDescent="0.25">
      <c r="A128" s="94" t="s">
        <v>544</v>
      </c>
      <c r="B128" s="492" t="s">
        <v>540</v>
      </c>
      <c r="C128" s="522" t="s">
        <v>538</v>
      </c>
      <c r="D128" s="495" t="s">
        <v>2</v>
      </c>
      <c r="E128" s="495">
        <v>1</v>
      </c>
      <c r="F128" s="513">
        <v>120.75</v>
      </c>
      <c r="G128" s="513">
        <f t="shared" si="6"/>
        <v>120.75</v>
      </c>
      <c r="H128" s="54">
        <f t="shared" si="5"/>
        <v>2.0918566990613398E-4</v>
      </c>
      <c r="I128" s="457"/>
      <c r="J128" s="457"/>
    </row>
    <row r="129" spans="1:10" s="93" customFormat="1" ht="18.75" thickBot="1" x14ac:dyDescent="0.3">
      <c r="A129" s="94" t="s">
        <v>545</v>
      </c>
      <c r="B129" s="492" t="s">
        <v>120</v>
      </c>
      <c r="C129" s="522" t="s">
        <v>537</v>
      </c>
      <c r="D129" s="495" t="s">
        <v>2</v>
      </c>
      <c r="E129" s="495">
        <v>2</v>
      </c>
      <c r="F129" s="513">
        <f>COMPOSIÇÕES!H473</f>
        <v>24.46</v>
      </c>
      <c r="G129" s="513">
        <f t="shared" si="6"/>
        <v>48.92</v>
      </c>
      <c r="H129" s="54">
        <f t="shared" si="5"/>
        <v>8.4748347592613447E-5</v>
      </c>
      <c r="I129" s="457"/>
      <c r="J129" s="457"/>
    </row>
    <row r="130" spans="1:10" s="93" customFormat="1" ht="18.75" thickBot="1" x14ac:dyDescent="0.3">
      <c r="A130" s="56"/>
      <c r="B130" s="56"/>
      <c r="C130" s="472" t="s">
        <v>550</v>
      </c>
      <c r="D130" s="56"/>
      <c r="E130" s="56"/>
      <c r="F130" s="56"/>
      <c r="G130" s="56">
        <f t="shared" si="6"/>
        <v>0</v>
      </c>
      <c r="H130" s="54">
        <f t="shared" si="5"/>
        <v>0</v>
      </c>
      <c r="I130" s="457"/>
      <c r="J130" s="457"/>
    </row>
    <row r="131" spans="1:10" s="93" customFormat="1" ht="18" x14ac:dyDescent="0.25">
      <c r="A131" s="94" t="s">
        <v>564</v>
      </c>
      <c r="B131" s="492" t="s">
        <v>551</v>
      </c>
      <c r="C131" s="522" t="s">
        <v>552</v>
      </c>
      <c r="D131" s="495" t="s">
        <v>109</v>
      </c>
      <c r="E131" s="495">
        <v>16</v>
      </c>
      <c r="F131" s="513">
        <v>25.27</v>
      </c>
      <c r="G131" s="513">
        <f t="shared" si="6"/>
        <v>404.32</v>
      </c>
      <c r="H131" s="54">
        <f t="shared" si="5"/>
        <v>7.0043850978424916E-4</v>
      </c>
      <c r="I131" s="457"/>
      <c r="J131" s="457"/>
    </row>
    <row r="132" spans="1:10" s="93" customFormat="1" ht="18" x14ac:dyDescent="0.25">
      <c r="A132" s="94" t="s">
        <v>565</v>
      </c>
      <c r="B132" s="492" t="s">
        <v>553</v>
      </c>
      <c r="C132" s="522" t="s">
        <v>554</v>
      </c>
      <c r="D132" s="495" t="s">
        <v>109</v>
      </c>
      <c r="E132" s="495">
        <v>16</v>
      </c>
      <c r="F132" s="513">
        <v>30.72</v>
      </c>
      <c r="G132" s="513">
        <f t="shared" si="6"/>
        <v>491.52</v>
      </c>
      <c r="H132" s="54">
        <f t="shared" si="5"/>
        <v>8.5150261260673267E-4</v>
      </c>
      <c r="I132" s="457"/>
      <c r="J132" s="457"/>
    </row>
    <row r="133" spans="1:10" s="93" customFormat="1" ht="18" x14ac:dyDescent="0.25">
      <c r="A133" s="94" t="s">
        <v>566</v>
      </c>
      <c r="B133" s="492" t="s">
        <v>555</v>
      </c>
      <c r="C133" s="522" t="s">
        <v>152</v>
      </c>
      <c r="D133" s="495" t="s">
        <v>109</v>
      </c>
      <c r="E133" s="495">
        <v>32</v>
      </c>
      <c r="F133" s="513">
        <v>19.71</v>
      </c>
      <c r="G133" s="513">
        <f t="shared" si="6"/>
        <v>630.72</v>
      </c>
      <c r="H133" s="54">
        <f t="shared" si="5"/>
        <v>1.0926508134426237E-3</v>
      </c>
      <c r="I133" s="457"/>
      <c r="J133" s="457"/>
    </row>
    <row r="134" spans="1:10" s="93" customFormat="1" ht="18" x14ac:dyDescent="0.25">
      <c r="A134" s="94" t="s">
        <v>567</v>
      </c>
      <c r="B134" s="492" t="s">
        <v>594</v>
      </c>
      <c r="C134" s="522" t="s">
        <v>556</v>
      </c>
      <c r="D134" s="495" t="s">
        <v>109</v>
      </c>
      <c r="E134" s="495">
        <v>80</v>
      </c>
      <c r="F134" s="513">
        <v>7.65</v>
      </c>
      <c r="G134" s="513">
        <f t="shared" si="6"/>
        <v>612</v>
      </c>
      <c r="H134" s="54">
        <f t="shared" si="5"/>
        <v>1.0602205381577969E-3</v>
      </c>
      <c r="I134" s="457"/>
      <c r="J134" s="457"/>
    </row>
    <row r="135" spans="1:10" s="93" customFormat="1" ht="18.75" thickBot="1" x14ac:dyDescent="0.3">
      <c r="A135" s="94" t="s">
        <v>568</v>
      </c>
      <c r="B135" s="492" t="s">
        <v>557</v>
      </c>
      <c r="C135" s="522" t="s">
        <v>558</v>
      </c>
      <c r="D135" s="495" t="s">
        <v>203</v>
      </c>
      <c r="E135" s="495">
        <v>200</v>
      </c>
      <c r="F135" s="513">
        <v>4.4000000000000004</v>
      </c>
      <c r="G135" s="513">
        <f t="shared" si="6"/>
        <v>880.00000000000011</v>
      </c>
      <c r="H135" s="54">
        <f t="shared" si="5"/>
        <v>1.5245001202268979E-3</v>
      </c>
      <c r="I135" s="457"/>
      <c r="J135" s="457"/>
    </row>
    <row r="136" spans="1:10" s="93" customFormat="1" ht="18.75" thickBot="1" x14ac:dyDescent="0.3">
      <c r="A136" s="56"/>
      <c r="B136" s="56"/>
      <c r="C136" s="472" t="s">
        <v>559</v>
      </c>
      <c r="D136" s="56"/>
      <c r="E136" s="56"/>
      <c r="F136" s="56"/>
      <c r="G136" s="56">
        <f t="shared" si="6"/>
        <v>0</v>
      </c>
      <c r="H136" s="54">
        <f t="shared" si="5"/>
        <v>0</v>
      </c>
      <c r="I136" s="457"/>
      <c r="J136" s="457"/>
    </row>
    <row r="137" spans="1:10" s="93" customFormat="1" ht="18" x14ac:dyDescent="0.25">
      <c r="A137" s="94" t="s">
        <v>569</v>
      </c>
      <c r="B137" s="492" t="s">
        <v>120</v>
      </c>
      <c r="C137" s="522" t="s">
        <v>560</v>
      </c>
      <c r="D137" s="495" t="s">
        <v>2</v>
      </c>
      <c r="E137" s="495">
        <v>20</v>
      </c>
      <c r="F137" s="513">
        <f>COMPOSIÇÕES!H478</f>
        <v>2.4090000000000003</v>
      </c>
      <c r="G137" s="513">
        <f t="shared" si="6"/>
        <v>48.180000000000007</v>
      </c>
      <c r="H137" s="54">
        <f t="shared" si="5"/>
        <v>8.3466381582422659E-5</v>
      </c>
      <c r="I137" s="457"/>
      <c r="J137" s="457"/>
    </row>
    <row r="138" spans="1:10" s="93" customFormat="1" ht="18.75" thickBot="1" x14ac:dyDescent="0.3">
      <c r="A138" s="94" t="s">
        <v>570</v>
      </c>
      <c r="B138" s="492" t="s">
        <v>561</v>
      </c>
      <c r="C138" s="522" t="s">
        <v>562</v>
      </c>
      <c r="D138" s="495" t="s">
        <v>563</v>
      </c>
      <c r="E138" s="495">
        <v>20</v>
      </c>
      <c r="F138" s="513">
        <v>14</v>
      </c>
      <c r="G138" s="513">
        <f t="shared" si="6"/>
        <v>280</v>
      </c>
      <c r="H138" s="54">
        <f t="shared" si="5"/>
        <v>4.8506822007219469E-4</v>
      </c>
      <c r="I138" s="457"/>
      <c r="J138" s="457"/>
    </row>
    <row r="139" spans="1:10" s="93" customFormat="1" ht="18.75" thickBot="1" x14ac:dyDescent="0.3">
      <c r="A139" s="56"/>
      <c r="B139" s="56"/>
      <c r="C139" s="472" t="s">
        <v>573</v>
      </c>
      <c r="D139" s="56"/>
      <c r="E139" s="56"/>
      <c r="F139" s="56"/>
      <c r="G139" s="56">
        <f t="shared" si="6"/>
        <v>0</v>
      </c>
      <c r="H139" s="54">
        <f t="shared" si="5"/>
        <v>0</v>
      </c>
      <c r="I139" s="457"/>
      <c r="J139" s="457"/>
    </row>
    <row r="140" spans="1:10" s="93" customFormat="1" ht="36.75" thickBot="1" x14ac:dyDescent="0.3">
      <c r="A140" s="94" t="s">
        <v>574</v>
      </c>
      <c r="B140" s="492" t="s">
        <v>120</v>
      </c>
      <c r="C140" s="522" t="s">
        <v>575</v>
      </c>
      <c r="D140" s="495" t="s">
        <v>2</v>
      </c>
      <c r="E140" s="495">
        <v>2</v>
      </c>
      <c r="F140" s="513">
        <f>COMPOSIÇÕES!H485</f>
        <v>2693.7900000000004</v>
      </c>
      <c r="G140" s="513">
        <f t="shared" si="6"/>
        <v>5387.5800000000008</v>
      </c>
      <c r="H140" s="54">
        <f t="shared" si="5"/>
        <v>9.3333708610591256E-3</v>
      </c>
      <c r="I140" s="457"/>
      <c r="J140" s="457"/>
    </row>
    <row r="141" spans="1:10" s="93" customFormat="1" ht="18.75" thickBot="1" x14ac:dyDescent="0.3">
      <c r="A141" s="390">
        <v>5</v>
      </c>
      <c r="B141" s="497"/>
      <c r="C141" s="408" t="s">
        <v>12</v>
      </c>
      <c r="D141" s="409"/>
      <c r="E141" s="410"/>
      <c r="F141" s="410"/>
      <c r="G141" s="58">
        <f>SUM(G142:G148)</f>
        <v>5901.9671999999991</v>
      </c>
      <c r="H141" s="54">
        <f t="shared" ref="H141:H155" si="7">G141/$G$155</f>
        <v>1.0224488302244551E-2</v>
      </c>
      <c r="I141" s="457"/>
      <c r="J141" s="457"/>
    </row>
    <row r="142" spans="1:10" s="93" customFormat="1" ht="18" x14ac:dyDescent="0.25">
      <c r="A142" s="94" t="s">
        <v>135</v>
      </c>
      <c r="B142" s="492" t="s">
        <v>120</v>
      </c>
      <c r="C142" s="522" t="s">
        <v>243</v>
      </c>
      <c r="D142" s="495" t="s">
        <v>1</v>
      </c>
      <c r="E142" s="495">
        <v>6</v>
      </c>
      <c r="F142" s="513">
        <f>COMPOSIÇÕES!H489</f>
        <v>8.6850000000000005</v>
      </c>
      <c r="G142" s="513">
        <f>E142*F142</f>
        <v>52.11</v>
      </c>
      <c r="H142" s="54">
        <f t="shared" si="7"/>
        <v>9.0274660528435953E-5</v>
      </c>
      <c r="I142" s="457"/>
      <c r="J142" s="457"/>
    </row>
    <row r="143" spans="1:10" s="93" customFormat="1" ht="18" x14ac:dyDescent="0.25">
      <c r="A143" s="94" t="s">
        <v>108</v>
      </c>
      <c r="B143" s="492">
        <v>88316</v>
      </c>
      <c r="C143" s="522" t="s">
        <v>114</v>
      </c>
      <c r="D143" s="495" t="s">
        <v>109</v>
      </c>
      <c r="E143" s="495">
        <v>48</v>
      </c>
      <c r="F143" s="513">
        <v>17.37</v>
      </c>
      <c r="G143" s="513">
        <f t="shared" ref="G143:G148" si="8">E143*F143</f>
        <v>833.76</v>
      </c>
      <c r="H143" s="54">
        <f t="shared" si="7"/>
        <v>1.4443945684549753E-3</v>
      </c>
      <c r="I143" s="457"/>
      <c r="J143" s="457"/>
    </row>
    <row r="144" spans="1:10" s="93" customFormat="1" ht="54" x14ac:dyDescent="0.25">
      <c r="A144" s="94" t="s">
        <v>155</v>
      </c>
      <c r="B144" s="492" t="s">
        <v>595</v>
      </c>
      <c r="C144" s="522" t="s">
        <v>244</v>
      </c>
      <c r="D144" s="495" t="s">
        <v>109</v>
      </c>
      <c r="E144" s="495">
        <v>24</v>
      </c>
      <c r="F144" s="513">
        <f>COMPOSIÇÕES!H27</f>
        <v>121.09</v>
      </c>
      <c r="G144" s="513">
        <f t="shared" si="8"/>
        <v>2906.16</v>
      </c>
      <c r="H144" s="54">
        <f t="shared" si="7"/>
        <v>5.0345923515893194E-3</v>
      </c>
      <c r="I144" s="457"/>
      <c r="J144" s="457"/>
    </row>
    <row r="145" spans="1:10" s="93" customFormat="1" ht="18" x14ac:dyDescent="0.25">
      <c r="A145" s="94" t="s">
        <v>156</v>
      </c>
      <c r="B145" s="492" t="s">
        <v>120</v>
      </c>
      <c r="C145" s="522" t="s">
        <v>258</v>
      </c>
      <c r="D145" s="495" t="s">
        <v>112</v>
      </c>
      <c r="E145" s="495">
        <v>20</v>
      </c>
      <c r="F145" s="513">
        <f>COMPOSIÇÕES!H496</f>
        <v>26.055</v>
      </c>
      <c r="G145" s="513">
        <f t="shared" si="8"/>
        <v>521.1</v>
      </c>
      <c r="H145" s="54">
        <f t="shared" si="7"/>
        <v>9.0274660528435959E-4</v>
      </c>
      <c r="I145" s="457"/>
      <c r="J145" s="457"/>
    </row>
    <row r="146" spans="1:10" s="93" customFormat="1" ht="18" x14ac:dyDescent="0.25">
      <c r="A146" s="94" t="s">
        <v>157</v>
      </c>
      <c r="B146" s="492" t="s">
        <v>120</v>
      </c>
      <c r="C146" s="522" t="s">
        <v>267</v>
      </c>
      <c r="D146" s="495" t="s">
        <v>112</v>
      </c>
      <c r="E146" s="495">
        <v>20</v>
      </c>
      <c r="F146" s="513">
        <f>COMPOSIÇÕES!H501</f>
        <v>8.6850000000000005</v>
      </c>
      <c r="G146" s="513">
        <f t="shared" si="8"/>
        <v>173.70000000000002</v>
      </c>
      <c r="H146" s="54">
        <f t="shared" si="7"/>
        <v>3.0091553509478653E-4</v>
      </c>
      <c r="I146" s="457"/>
      <c r="J146" s="457"/>
    </row>
    <row r="147" spans="1:10" s="93" customFormat="1" ht="36" x14ac:dyDescent="0.25">
      <c r="A147" s="94" t="s">
        <v>158</v>
      </c>
      <c r="B147" s="492" t="s">
        <v>596</v>
      </c>
      <c r="C147" s="522" t="s">
        <v>181</v>
      </c>
      <c r="D147" s="495" t="s">
        <v>113</v>
      </c>
      <c r="E147" s="495">
        <v>200</v>
      </c>
      <c r="F147" s="513">
        <f>COMPOSIÇÕES!H81</f>
        <v>1.3395359999999998</v>
      </c>
      <c r="G147" s="513">
        <f t="shared" si="8"/>
        <v>267.90719999999999</v>
      </c>
      <c r="H147" s="54">
        <f t="shared" si="7"/>
        <v>4.6411881660187669E-4</v>
      </c>
      <c r="I147" s="457"/>
      <c r="J147" s="457"/>
    </row>
    <row r="148" spans="1:10" s="93" customFormat="1" ht="18.75" thickBot="1" x14ac:dyDescent="0.3">
      <c r="A148" s="499" t="s">
        <v>239</v>
      </c>
      <c r="B148" s="492" t="s">
        <v>196</v>
      </c>
      <c r="C148" s="522" t="s">
        <v>197</v>
      </c>
      <c r="D148" s="495" t="s">
        <v>1</v>
      </c>
      <c r="E148" s="495">
        <v>607</v>
      </c>
      <c r="F148" s="513">
        <v>1.89</v>
      </c>
      <c r="G148" s="513">
        <f t="shared" si="8"/>
        <v>1147.23</v>
      </c>
      <c r="H148" s="54">
        <f t="shared" si="7"/>
        <v>1.9874457646907998E-3</v>
      </c>
      <c r="I148" s="457"/>
      <c r="J148" s="457"/>
    </row>
    <row r="149" spans="1:10" s="93" customFormat="1" ht="34.5" customHeight="1" thickBot="1" x14ac:dyDescent="0.3">
      <c r="A149" s="533" t="s">
        <v>582</v>
      </c>
      <c r="B149" s="533"/>
      <c r="C149" s="533"/>
      <c r="D149" s="533"/>
      <c r="E149" s="533"/>
      <c r="F149" s="533"/>
      <c r="G149" s="526">
        <f>G141+G47+G31+G25+G12</f>
        <v>315111.5914476451</v>
      </c>
      <c r="H149" s="54">
        <f t="shared" si="7"/>
        <v>0.54589506709866364</v>
      </c>
      <c r="I149" s="479"/>
      <c r="J149" s="479"/>
    </row>
    <row r="150" spans="1:10" s="93" customFormat="1" ht="27.75" customHeight="1" thickBot="1" x14ac:dyDescent="0.3">
      <c r="A150" s="532" t="s">
        <v>581</v>
      </c>
      <c r="B150" s="532"/>
      <c r="C150" s="532"/>
      <c r="D150" s="532"/>
      <c r="E150" s="532"/>
      <c r="F150" s="532"/>
      <c r="G150" s="513">
        <f>0.25*G149</f>
        <v>78777.897861911275</v>
      </c>
      <c r="H150" s="54">
        <f t="shared" si="7"/>
        <v>0.13647376677466591</v>
      </c>
      <c r="I150" s="479"/>
      <c r="J150" s="479"/>
    </row>
    <row r="151" spans="1:10" s="50" customFormat="1" ht="18.75" thickBot="1" x14ac:dyDescent="0.3">
      <c r="A151" s="56">
        <v>6</v>
      </c>
      <c r="B151" s="56"/>
      <c r="C151" s="408" t="s">
        <v>578</v>
      </c>
      <c r="D151" s="56"/>
      <c r="E151" s="56"/>
      <c r="F151" s="56"/>
      <c r="G151" s="526">
        <f>G152</f>
        <v>158059.4</v>
      </c>
      <c r="H151" s="54">
        <f t="shared" si="7"/>
        <v>0.27381997079885373</v>
      </c>
      <c r="I151" s="49"/>
      <c r="J151" s="49"/>
    </row>
    <row r="152" spans="1:10" s="50" customFormat="1" ht="42.75" customHeight="1" thickBot="1" x14ac:dyDescent="0.3">
      <c r="A152" s="404" t="s">
        <v>242</v>
      </c>
      <c r="B152" s="405" t="s">
        <v>579</v>
      </c>
      <c r="C152" s="500" t="s">
        <v>580</v>
      </c>
      <c r="D152" s="501" t="s">
        <v>2</v>
      </c>
      <c r="E152" s="502">
        <v>1</v>
      </c>
      <c r="F152" s="502">
        <v>158059.4</v>
      </c>
      <c r="G152" s="513">
        <f>E152*F152</f>
        <v>158059.4</v>
      </c>
      <c r="H152" s="54">
        <f t="shared" si="7"/>
        <v>0.27381997079885373</v>
      </c>
      <c r="I152" s="49"/>
      <c r="J152" s="49"/>
    </row>
    <row r="153" spans="1:10" s="50" customFormat="1" ht="18.75" thickBot="1" x14ac:dyDescent="0.3">
      <c r="A153" s="533" t="s">
        <v>583</v>
      </c>
      <c r="B153" s="533"/>
      <c r="C153" s="533"/>
      <c r="D153" s="533"/>
      <c r="E153" s="533"/>
      <c r="F153" s="533"/>
      <c r="G153" s="526">
        <f>G151</f>
        <v>158059.4</v>
      </c>
      <c r="H153" s="54">
        <f t="shared" si="7"/>
        <v>0.27381997079885373</v>
      </c>
      <c r="I153" s="49"/>
      <c r="J153" s="49"/>
    </row>
    <row r="154" spans="1:10" s="50" customFormat="1" ht="18.75" thickBot="1" x14ac:dyDescent="0.3">
      <c r="A154" s="532" t="s">
        <v>585</v>
      </c>
      <c r="B154" s="532"/>
      <c r="C154" s="532"/>
      <c r="D154" s="532"/>
      <c r="E154" s="532"/>
      <c r="F154" s="532"/>
      <c r="G154" s="513">
        <f>0.16*G153</f>
        <v>25289.504000000001</v>
      </c>
      <c r="H154" s="54">
        <f t="shared" si="7"/>
        <v>4.3811195327816604E-2</v>
      </c>
      <c r="I154" s="49"/>
      <c r="J154" s="49"/>
    </row>
    <row r="155" spans="1:10" s="50" customFormat="1" ht="18.75" thickBot="1" x14ac:dyDescent="0.3">
      <c r="A155" s="533" t="s">
        <v>584</v>
      </c>
      <c r="B155" s="533"/>
      <c r="C155" s="533"/>
      <c r="D155" s="533"/>
      <c r="E155" s="533"/>
      <c r="F155" s="533"/>
      <c r="G155" s="526">
        <f>G154+G153+G150+G149</f>
        <v>577238.39330955641</v>
      </c>
      <c r="H155" s="54">
        <f t="shared" si="7"/>
        <v>1</v>
      </c>
      <c r="I155" s="49"/>
      <c r="J155" s="49"/>
    </row>
    <row r="156" spans="1:10" s="50" customFormat="1" ht="18" x14ac:dyDescent="0.25">
      <c r="A156" s="404"/>
      <c r="B156" s="405"/>
      <c r="C156" s="406"/>
      <c r="D156" s="91"/>
      <c r="E156" s="479"/>
      <c r="F156" s="479"/>
      <c r="G156" s="479"/>
      <c r="H156" s="54"/>
      <c r="I156" s="49"/>
      <c r="J156" s="49"/>
    </row>
    <row r="157" spans="1:10" s="50" customFormat="1" ht="18" x14ac:dyDescent="0.25">
      <c r="A157" s="404"/>
      <c r="B157" s="405"/>
      <c r="C157" s="406"/>
      <c r="D157" s="91"/>
      <c r="E157" s="479"/>
      <c r="F157" s="479"/>
      <c r="G157" s="479"/>
      <c r="H157" s="54"/>
      <c r="I157" s="49"/>
      <c r="J157" s="49"/>
    </row>
    <row r="158" spans="1:10" s="50" customFormat="1" ht="18" x14ac:dyDescent="0.25">
      <c r="A158" s="404"/>
      <c r="B158" s="405"/>
      <c r="C158" s="406"/>
      <c r="D158" s="91"/>
      <c r="E158" s="479"/>
      <c r="F158" s="479"/>
      <c r="G158" s="479"/>
      <c r="H158" s="54"/>
      <c r="I158" s="49"/>
      <c r="J158" s="49"/>
    </row>
    <row r="159" spans="1:10" ht="15.75" x14ac:dyDescent="0.2">
      <c r="C159" s="296"/>
      <c r="D159" s="47"/>
      <c r="E159" s="289"/>
    </row>
    <row r="160" spans="1:10" x14ac:dyDescent="0.2">
      <c r="G160" s="530"/>
    </row>
    <row r="161" spans="8:9" ht="18" x14ac:dyDescent="0.25">
      <c r="H161" s="527"/>
      <c r="I161" s="407"/>
    </row>
  </sheetData>
  <mergeCells count="15">
    <mergeCell ref="A154:F154"/>
    <mergeCell ref="A153:F153"/>
    <mergeCell ref="A155:F155"/>
    <mergeCell ref="A1:E1"/>
    <mergeCell ref="A2:E2"/>
    <mergeCell ref="A5:D5"/>
    <mergeCell ref="A9:C9"/>
    <mergeCell ref="D9:E9"/>
    <mergeCell ref="A10:G10"/>
    <mergeCell ref="A7:C7"/>
    <mergeCell ref="D8:E8"/>
    <mergeCell ref="D7:E7"/>
    <mergeCell ref="A8:C8"/>
    <mergeCell ref="A149:F149"/>
    <mergeCell ref="A150:F150"/>
  </mergeCells>
  <phoneticPr fontId="41" type="noConversion"/>
  <printOptions horizontalCentered="1"/>
  <pageMargins left="0.19685039370078741" right="0.19685039370078741" top="0.19685039370078741" bottom="0.19685039370078741" header="0.31496062992125984" footer="0.31496062992125984"/>
  <pageSetup paperSize="9" scale="47" orientation="portrait" horizontalDpi="300" verticalDpi="300" r:id="rId1"/>
  <headerFooter alignWithMargins="0">
    <oddFooter>&amp;CPágina &amp;P de &amp;N</oddFooter>
  </headerFooter>
  <rowBreaks count="2" manualBreakCount="2">
    <brk id="66" max="7" man="1"/>
    <brk id="12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Z501"/>
  <sheetViews>
    <sheetView view="pageBreakPreview" topLeftCell="A13" zoomScale="60" zoomScaleNormal="75" workbookViewId="0">
      <pane xSplit="13" ySplit="4" topLeftCell="N17" activePane="bottomRight" state="frozen"/>
      <selection activeCell="A13" sqref="A13"/>
      <selection pane="topRight" activeCell="N13" sqref="N13"/>
      <selection pane="bottomLeft" activeCell="A17" sqref="A17"/>
      <selection pane="bottomRight" activeCell="G25" sqref="G25"/>
    </sheetView>
  </sheetViews>
  <sheetFormatPr defaultRowHeight="15.75" x14ac:dyDescent="0.25"/>
  <cols>
    <col min="1" max="1" width="9.28515625" style="354" bestFit="1" customWidth="1"/>
    <col min="2" max="2" width="14.140625" style="354" customWidth="1"/>
    <col min="3" max="3" width="23.140625" style="354" customWidth="1"/>
    <col min="4" max="4" width="62.42578125" style="354" customWidth="1"/>
    <col min="5" max="5" width="12" style="354" bestFit="1" customWidth="1"/>
    <col min="6" max="6" width="12.140625" style="354" customWidth="1"/>
    <col min="7" max="7" width="14.28515625" style="354" customWidth="1"/>
    <col min="8" max="8" width="21.42578125" style="354" customWidth="1"/>
    <col min="9" max="9" width="13.85546875" style="354" customWidth="1"/>
    <col min="10" max="16384" width="9.140625" style="354"/>
  </cols>
  <sheetData>
    <row r="1" spans="1:8" s="343" customFormat="1" ht="25.5" customHeight="1" x14ac:dyDescent="0.25">
      <c r="A1" s="561" t="s">
        <v>163</v>
      </c>
      <c r="B1" s="562"/>
      <c r="C1" s="562"/>
      <c r="D1" s="562"/>
      <c r="E1" s="562"/>
      <c r="F1" s="341"/>
      <c r="G1" s="341"/>
      <c r="H1" s="342"/>
    </row>
    <row r="2" spans="1:8" s="343" customFormat="1" ht="20.25" customHeight="1" x14ac:dyDescent="0.25">
      <c r="A2" s="563" t="s">
        <v>164</v>
      </c>
      <c r="B2" s="564"/>
      <c r="C2" s="564"/>
      <c r="D2" s="564"/>
      <c r="E2" s="564"/>
      <c r="F2" s="344"/>
      <c r="G2" s="344"/>
      <c r="H2" s="345"/>
    </row>
    <row r="3" spans="1:8" s="343" customFormat="1" ht="18" customHeight="1" x14ac:dyDescent="0.25">
      <c r="A3" s="563"/>
      <c r="B3" s="564"/>
      <c r="C3" s="564"/>
      <c r="D3" s="564"/>
      <c r="E3" s="564"/>
      <c r="F3" s="344"/>
      <c r="G3" s="344"/>
      <c r="H3" s="345"/>
    </row>
    <row r="4" spans="1:8" s="343" customFormat="1" ht="8.25" customHeight="1" x14ac:dyDescent="0.25">
      <c r="A4" s="346"/>
      <c r="B4" s="347"/>
      <c r="C4" s="347"/>
      <c r="D4" s="347"/>
      <c r="E4" s="347"/>
      <c r="F4" s="347"/>
      <c r="G4" s="347"/>
      <c r="H4" s="348"/>
    </row>
    <row r="5" spans="1:8" s="343" customFormat="1" ht="20.25" customHeight="1" x14ac:dyDescent="0.25">
      <c r="A5" s="349" t="s">
        <v>6</v>
      </c>
      <c r="B5" s="350"/>
      <c r="C5" s="351"/>
      <c r="D5" s="347"/>
      <c r="E5" s="554" t="s">
        <v>8</v>
      </c>
      <c r="F5" s="554"/>
      <c r="G5" s="347"/>
      <c r="H5" s="348"/>
    </row>
    <row r="6" spans="1:8" s="343" customFormat="1" ht="36" customHeight="1" x14ac:dyDescent="0.25">
      <c r="A6" s="565" t="str">
        <f>SERVIÇOS!A7</f>
        <v>serviços de engenharia para conclusão de serviços no edifício do Biotério do Instituto
Multidisciplinar de Saúde</v>
      </c>
      <c r="B6" s="566"/>
      <c r="C6" s="566"/>
      <c r="D6" s="566"/>
      <c r="E6" s="567" t="s">
        <v>248</v>
      </c>
      <c r="F6" s="567"/>
      <c r="G6" s="352"/>
      <c r="H6" s="353"/>
    </row>
    <row r="7" spans="1:8" s="343" customFormat="1" ht="19.5" customHeight="1" x14ac:dyDescent="0.25">
      <c r="A7" s="552" t="s">
        <v>7</v>
      </c>
      <c r="B7" s="553"/>
      <c r="C7" s="553"/>
      <c r="D7" s="347"/>
      <c r="E7" s="554" t="s">
        <v>9</v>
      </c>
      <c r="F7" s="554"/>
      <c r="G7" s="555" t="s">
        <v>101</v>
      </c>
      <c r="H7" s="555"/>
    </row>
    <row r="8" spans="1:8" s="343" customFormat="1" ht="15.75" customHeight="1" thickBot="1" x14ac:dyDescent="0.3">
      <c r="A8" s="556" t="str">
        <f>SERVIÇOS!A9</f>
        <v>UFBA - CAMPUS VITORIA DA CONQUISTA</v>
      </c>
      <c r="B8" s="557"/>
      <c r="C8" s="557"/>
      <c r="D8" s="557"/>
      <c r="E8" s="558">
        <f>SERVIÇOS!D9</f>
        <v>0</v>
      </c>
      <c r="F8" s="558"/>
      <c r="G8" s="559">
        <f ca="1">NOW()</f>
        <v>44474.611615624999</v>
      </c>
      <c r="H8" s="560"/>
    </row>
    <row r="9" spans="1:8" ht="16.5" thickTop="1" x14ac:dyDescent="0.25"/>
    <row r="11" spans="1:8" s="355" customFormat="1" ht="19.5" customHeight="1" x14ac:dyDescent="0.25">
      <c r="A11" s="571" t="s">
        <v>115</v>
      </c>
      <c r="B11" s="571"/>
      <c r="C11" s="571"/>
      <c r="D11" s="571"/>
      <c r="E11" s="571"/>
      <c r="F11" s="571"/>
      <c r="G11" s="571"/>
      <c r="H11" s="571"/>
    </row>
    <row r="13" spans="1:8" ht="23.25" customHeight="1" x14ac:dyDescent="0.25">
      <c r="C13" s="441">
        <v>88309</v>
      </c>
      <c r="D13" s="445" t="s">
        <v>116</v>
      </c>
      <c r="E13" s="443" t="s">
        <v>109</v>
      </c>
      <c r="F13" s="444">
        <v>25.06</v>
      </c>
    </row>
    <row r="14" spans="1:8" ht="25.5" customHeight="1" x14ac:dyDescent="0.25">
      <c r="C14" s="441">
        <v>88316</v>
      </c>
      <c r="D14" s="445" t="s">
        <v>114</v>
      </c>
      <c r="E14" s="443" t="s">
        <v>109</v>
      </c>
      <c r="F14" s="444">
        <v>17.37</v>
      </c>
    </row>
    <row r="15" spans="1:8" ht="40.5" customHeight="1" x14ac:dyDescent="0.25">
      <c r="C15" s="441">
        <v>88247</v>
      </c>
      <c r="D15" s="442" t="s">
        <v>152</v>
      </c>
      <c r="E15" s="443" t="s">
        <v>109</v>
      </c>
      <c r="F15" s="444">
        <v>19.71</v>
      </c>
    </row>
    <row r="16" spans="1:8" ht="42.75" customHeight="1" x14ac:dyDescent="0.25">
      <c r="C16" s="441">
        <v>88282</v>
      </c>
      <c r="D16" s="442" t="s">
        <v>182</v>
      </c>
      <c r="E16" s="443" t="s">
        <v>109</v>
      </c>
      <c r="F16" s="444">
        <v>26.75</v>
      </c>
    </row>
    <row r="17" spans="1:8" ht="12.75" customHeight="1" x14ac:dyDescent="0.25"/>
    <row r="18" spans="1:8" ht="12.75" customHeight="1" x14ac:dyDescent="0.25"/>
    <row r="19" spans="1:8" ht="12.75" customHeight="1" x14ac:dyDescent="0.25"/>
    <row r="20" spans="1:8" ht="12.75" customHeight="1" x14ac:dyDescent="0.25"/>
    <row r="21" spans="1:8" s="454" customFormat="1" ht="41.25" customHeight="1" x14ac:dyDescent="0.2">
      <c r="A21" s="455">
        <v>1</v>
      </c>
      <c r="B21" s="568" t="s">
        <v>176</v>
      </c>
      <c r="C21" s="569"/>
      <c r="D21" s="569"/>
      <c r="E21" s="569"/>
      <c r="F21" s="569"/>
      <c r="G21" s="569"/>
      <c r="H21" s="570"/>
    </row>
    <row r="22" spans="1:8" hidden="1" x14ac:dyDescent="0.25"/>
    <row r="23" spans="1:8" s="355" customFormat="1" ht="126" customHeight="1" x14ac:dyDescent="0.25">
      <c r="A23" s="358" t="s">
        <v>122</v>
      </c>
      <c r="B23" s="358"/>
      <c r="C23" s="358" t="s">
        <v>183</v>
      </c>
      <c r="D23" s="359" t="str">
        <f>SERVIÇOS!C13</f>
        <v xml:space="preserve">CAMINHÃO TOCO, PBT 14.300 KG, CARGA ÚTIL MÁX. 9.710 KG, DIST. ENTRE EXOS 3,56 M, POTÊNCIA 185 CV, INCLUSIVE CARROCERIA FIXA ABERTA DE MADEIRA P/ TRANSPORTE GERAL DE CARGA SECA, DIMEN. APROX. 2,50 X 6,50 X 0,50 M - CHP DIURNO. AF_06/2014  </v>
      </c>
      <c r="E23" s="358" t="s">
        <v>109</v>
      </c>
      <c r="F23" s="358" t="s">
        <v>117</v>
      </c>
      <c r="G23" s="358" t="s">
        <v>118</v>
      </c>
      <c r="H23" s="358" t="s">
        <v>119</v>
      </c>
    </row>
    <row r="24" spans="1:8" s="355" customFormat="1" ht="119.25" customHeight="1" x14ac:dyDescent="0.25">
      <c r="A24" s="356"/>
      <c r="B24" s="356"/>
      <c r="C24" s="360"/>
      <c r="D24" s="357" t="str">
        <f>D23</f>
        <v xml:space="preserve">CAMINHÃO TOCO, PBT 14.300 KG, CARGA ÚTIL MÁX. 9.710 KG, DIST. ENTRE EXOS 3,56 M, POTÊNCIA 185 CV, INCLUSIVE CARROCERIA FIXA ABERTA DE MADEIRA P/ TRANSPORTE GERAL DE CARGA SECA, DIMEN. APROX. 2,50 X 6,50 X 0,50 M - CHP DIURNO. AF_06/2014  </v>
      </c>
      <c r="E24" s="356" t="s">
        <v>109</v>
      </c>
      <c r="F24" s="379">
        <v>1</v>
      </c>
      <c r="G24" s="447">
        <v>94.34</v>
      </c>
      <c r="H24" s="448">
        <f>F24*G24</f>
        <v>94.34</v>
      </c>
    </row>
    <row r="25" spans="1:8" s="355" customFormat="1" ht="52.5" customHeight="1" x14ac:dyDescent="0.25">
      <c r="A25" s="356"/>
      <c r="B25" s="356"/>
      <c r="C25" s="360">
        <f>C16</f>
        <v>88282</v>
      </c>
      <c r="D25" s="357" t="str">
        <f>D16</f>
        <v>MOTORISTA DE CAMINHÃO COM ENCARGOS COMPLEMENTARES</v>
      </c>
      <c r="E25" s="356" t="s">
        <v>109</v>
      </c>
      <c r="F25" s="379">
        <f>F24</f>
        <v>1</v>
      </c>
      <c r="G25" s="447">
        <f>$F$16</f>
        <v>26.75</v>
      </c>
      <c r="H25" s="448">
        <f>F25*G25</f>
        <v>26.75</v>
      </c>
    </row>
    <row r="26" spans="1:8" s="355" customFormat="1" ht="38.25" customHeight="1" x14ac:dyDescent="0.25">
      <c r="A26" s="370"/>
      <c r="B26" s="370"/>
      <c r="C26" s="371"/>
      <c r="D26" s="372"/>
      <c r="E26" s="370"/>
      <c r="F26" s="373"/>
      <c r="G26" s="362"/>
      <c r="H26" s="363"/>
    </row>
    <row r="27" spans="1:8" s="355" customFormat="1" x14ac:dyDescent="0.25">
      <c r="A27" s="364"/>
      <c r="B27" s="364"/>
      <c r="C27" s="364"/>
      <c r="D27" s="364"/>
      <c r="E27" s="364"/>
      <c r="F27" s="340"/>
      <c r="G27" s="365" t="s">
        <v>11</v>
      </c>
      <c r="H27" s="365">
        <f>SUM(H24:H25)</f>
        <v>121.09</v>
      </c>
    </row>
    <row r="29" spans="1:8" ht="42.75" customHeight="1" x14ac:dyDescent="0.25">
      <c r="A29" s="358" t="s">
        <v>123</v>
      </c>
      <c r="B29" s="358"/>
      <c r="C29" s="358" t="s">
        <v>183</v>
      </c>
      <c r="D29" s="359" t="str">
        <f>SERVIÇOS!C15</f>
        <v xml:space="preserve">PLACA DE OBRA EM CHAPA DE ACO GALVANIZADO </v>
      </c>
      <c r="E29" s="358" t="s">
        <v>184</v>
      </c>
      <c r="F29" s="358" t="s">
        <v>117</v>
      </c>
      <c r="G29" s="358" t="s">
        <v>118</v>
      </c>
      <c r="H29" s="358" t="s">
        <v>119</v>
      </c>
    </row>
    <row r="30" spans="1:8" ht="57" customHeight="1" x14ac:dyDescent="0.25">
      <c r="A30" s="356"/>
      <c r="B30" s="356"/>
      <c r="C30" s="360" t="s">
        <v>277</v>
      </c>
      <c r="D30" s="357" t="s">
        <v>186</v>
      </c>
      <c r="E30" s="356" t="s">
        <v>184</v>
      </c>
      <c r="F30" s="378">
        <v>4</v>
      </c>
      <c r="G30" s="446">
        <v>9.25</v>
      </c>
      <c r="H30" s="446">
        <f>F30*G30</f>
        <v>37</v>
      </c>
    </row>
    <row r="31" spans="1:8" ht="40.5" customHeight="1" x14ac:dyDescent="0.25">
      <c r="A31" s="367"/>
      <c r="B31" s="367"/>
      <c r="C31" s="360" t="s">
        <v>279</v>
      </c>
      <c r="D31" s="357" t="s">
        <v>278</v>
      </c>
      <c r="E31" s="356" t="s">
        <v>280</v>
      </c>
      <c r="F31" s="378">
        <v>1</v>
      </c>
      <c r="G31" s="446">
        <v>258.27</v>
      </c>
      <c r="H31" s="446">
        <f t="shared" ref="H31:H36" si="0">F31*G31</f>
        <v>258.27</v>
      </c>
    </row>
    <row r="32" spans="1:8" ht="39.75" customHeight="1" x14ac:dyDescent="0.25">
      <c r="A32" s="367"/>
      <c r="B32" s="367"/>
      <c r="C32" s="360" t="s">
        <v>282</v>
      </c>
      <c r="D32" s="357" t="s">
        <v>281</v>
      </c>
      <c r="E32" s="356" t="s">
        <v>187</v>
      </c>
      <c r="F32" s="378">
        <v>1</v>
      </c>
      <c r="G32" s="446">
        <v>3.7</v>
      </c>
      <c r="H32" s="446">
        <f t="shared" si="0"/>
        <v>3.7</v>
      </c>
    </row>
    <row r="33" spans="1:8" ht="24.75" customHeight="1" x14ac:dyDescent="0.25">
      <c r="A33" s="367"/>
      <c r="B33" s="367"/>
      <c r="C33" s="360" t="s">
        <v>202</v>
      </c>
      <c r="D33" s="357" t="s">
        <v>201</v>
      </c>
      <c r="E33" s="356" t="s">
        <v>109</v>
      </c>
      <c r="F33" s="378">
        <v>0.5</v>
      </c>
      <c r="G33" s="446">
        <v>6.63</v>
      </c>
      <c r="H33" s="446">
        <f t="shared" si="0"/>
        <v>3.3149999999999999</v>
      </c>
    </row>
    <row r="34" spans="1:8" ht="30.75" customHeight="1" x14ac:dyDescent="0.25">
      <c r="A34" s="367"/>
      <c r="B34" s="367"/>
      <c r="C34" s="360" t="s">
        <v>198</v>
      </c>
      <c r="D34" s="357" t="s">
        <v>185</v>
      </c>
      <c r="E34" s="356" t="s">
        <v>193</v>
      </c>
      <c r="F34" s="378">
        <v>0.15</v>
      </c>
      <c r="G34" s="446">
        <v>17.940000000000001</v>
      </c>
      <c r="H34" s="446">
        <f t="shared" si="0"/>
        <v>2.6910000000000003</v>
      </c>
    </row>
    <row r="35" spans="1:8" ht="30.75" customHeight="1" x14ac:dyDescent="0.25">
      <c r="A35" s="367"/>
      <c r="B35" s="367"/>
      <c r="C35" s="360">
        <f>$C$14</f>
        <v>88316</v>
      </c>
      <c r="D35" s="357" t="str">
        <f>$D$14</f>
        <v>SERVENTE COM ENCARGOS COMPLEMENTARES</v>
      </c>
      <c r="E35" s="356" t="s">
        <v>109</v>
      </c>
      <c r="F35" s="378">
        <v>0.2</v>
      </c>
      <c r="G35" s="446">
        <f>$F$14</f>
        <v>17.37</v>
      </c>
      <c r="H35" s="446">
        <f t="shared" si="0"/>
        <v>3.4740000000000002</v>
      </c>
    </row>
    <row r="36" spans="1:8" ht="30.75" customHeight="1" x14ac:dyDescent="0.25">
      <c r="A36" s="367"/>
      <c r="B36" s="367"/>
      <c r="C36" s="360" t="s">
        <v>205</v>
      </c>
      <c r="D36" s="357" t="s">
        <v>206</v>
      </c>
      <c r="E36" s="356" t="s">
        <v>109</v>
      </c>
      <c r="F36" s="378">
        <f>F33</f>
        <v>0.5</v>
      </c>
      <c r="G36" s="446">
        <v>2.89</v>
      </c>
      <c r="H36" s="446">
        <f t="shared" si="0"/>
        <v>1.4450000000000001</v>
      </c>
    </row>
    <row r="37" spans="1:8" x14ac:dyDescent="0.25">
      <c r="G37" s="366" t="s">
        <v>11</v>
      </c>
      <c r="H37" s="449">
        <f>SUM(H30:H36)</f>
        <v>309.89499999999992</v>
      </c>
    </row>
    <row r="40" spans="1:8" ht="52.5" customHeight="1" x14ac:dyDescent="0.25">
      <c r="A40" s="358" t="s">
        <v>124</v>
      </c>
      <c r="B40" s="358"/>
      <c r="C40" s="358" t="s">
        <v>183</v>
      </c>
      <c r="D40" s="359" t="str">
        <f>SERVIÇOS!C16</f>
        <v>LIMPEZA MANUAL DE VEGETAÇÃO EM TERRENO COM
ENXADA.AF_05/2018</v>
      </c>
      <c r="E40" s="358" t="s">
        <v>184</v>
      </c>
      <c r="F40" s="358" t="s">
        <v>117</v>
      </c>
      <c r="G40" s="358" t="s">
        <v>118</v>
      </c>
      <c r="H40" s="358" t="s">
        <v>119</v>
      </c>
    </row>
    <row r="41" spans="1:8" ht="45" customHeight="1" x14ac:dyDescent="0.25">
      <c r="A41" s="356"/>
      <c r="B41" s="356"/>
      <c r="C41" s="360">
        <f>$C$14</f>
        <v>88316</v>
      </c>
      <c r="D41" s="357" t="str">
        <f>$D$14</f>
        <v>SERVENTE COM ENCARGOS COMPLEMENTARES</v>
      </c>
      <c r="E41" s="356" t="s">
        <v>109</v>
      </c>
      <c r="F41" s="380">
        <v>0.05</v>
      </c>
      <c r="G41" s="446">
        <f>$F$14</f>
        <v>17.37</v>
      </c>
      <c r="H41" s="446">
        <f>F41*G41</f>
        <v>0.86850000000000005</v>
      </c>
    </row>
    <row r="42" spans="1:8" ht="40.5" customHeight="1" x14ac:dyDescent="0.25">
      <c r="A42" s="356"/>
      <c r="B42" s="356"/>
      <c r="C42" s="360" t="s">
        <v>283</v>
      </c>
      <c r="D42" s="357" t="s">
        <v>252</v>
      </c>
      <c r="E42" s="356" t="s">
        <v>109</v>
      </c>
      <c r="F42" s="380">
        <v>0.05</v>
      </c>
      <c r="G42" s="446">
        <v>18.27</v>
      </c>
      <c r="H42" s="446">
        <f>F42*G42</f>
        <v>0.91349999999999998</v>
      </c>
    </row>
    <row r="43" spans="1:8" x14ac:dyDescent="0.25">
      <c r="A43" s="368"/>
      <c r="B43" s="368"/>
      <c r="C43" s="368"/>
      <c r="D43" s="368"/>
      <c r="E43" s="368"/>
      <c r="F43" s="368"/>
      <c r="G43" s="366" t="s">
        <v>11</v>
      </c>
      <c r="H43" s="449">
        <f>H41+H42</f>
        <v>1.782</v>
      </c>
    </row>
    <row r="46" spans="1:8" ht="27" customHeight="1" x14ac:dyDescent="0.25">
      <c r="A46" s="358" t="s">
        <v>162</v>
      </c>
      <c r="B46" s="358"/>
      <c r="C46" s="358" t="s">
        <v>183</v>
      </c>
      <c r="D46" s="359" t="str">
        <f>SERVIÇOS!C17</f>
        <v>DEMOLIÇÃO DE ALVENARIA DE PEDRA</v>
      </c>
      <c r="E46" s="358" t="s">
        <v>188</v>
      </c>
      <c r="F46" s="358" t="s">
        <v>117</v>
      </c>
      <c r="G46" s="358" t="s">
        <v>118</v>
      </c>
      <c r="H46" s="358" t="s">
        <v>119</v>
      </c>
    </row>
    <row r="47" spans="1:8" ht="27" customHeight="1" x14ac:dyDescent="0.25">
      <c r="A47" s="356"/>
      <c r="B47" s="356"/>
      <c r="C47" s="360">
        <f>$C$13</f>
        <v>88309</v>
      </c>
      <c r="D47" s="357" t="str">
        <f>$D$13</f>
        <v>PEDREIRO COM ENCARGOS COMPLEMENTARES</v>
      </c>
      <c r="E47" s="356" t="s">
        <v>109</v>
      </c>
      <c r="F47" s="378">
        <v>0.6</v>
      </c>
      <c r="G47" s="451">
        <f>F13</f>
        <v>25.06</v>
      </c>
      <c r="H47" s="450">
        <f>F47*G47</f>
        <v>15.035999999999998</v>
      </c>
    </row>
    <row r="48" spans="1:8" ht="27" customHeight="1" x14ac:dyDescent="0.25">
      <c r="A48" s="356"/>
      <c r="B48" s="356"/>
      <c r="C48" s="360">
        <f>$C$14</f>
        <v>88316</v>
      </c>
      <c r="D48" s="357" t="str">
        <f>$D$14</f>
        <v>SERVENTE COM ENCARGOS COMPLEMENTARES</v>
      </c>
      <c r="E48" s="356" t="s">
        <v>109</v>
      </c>
      <c r="F48" s="378">
        <v>0.6</v>
      </c>
      <c r="G48" s="451">
        <f>$F$14</f>
        <v>17.37</v>
      </c>
      <c r="H48" s="450">
        <f t="shared" ref="H48" si="1">F48*G48</f>
        <v>10.422000000000001</v>
      </c>
    </row>
    <row r="49" spans="1:8" x14ac:dyDescent="0.25">
      <c r="A49" s="364"/>
      <c r="B49" s="364"/>
      <c r="C49" s="364"/>
      <c r="D49" s="364"/>
      <c r="E49" s="364"/>
      <c r="F49" s="340"/>
      <c r="G49" s="366" t="s">
        <v>11</v>
      </c>
      <c r="H49" s="450">
        <f>SUM(H47:H48)</f>
        <v>25.457999999999998</v>
      </c>
    </row>
    <row r="50" spans="1:8" x14ac:dyDescent="0.25">
      <c r="A50" s="364"/>
      <c r="B50" s="364"/>
      <c r="C50" s="364"/>
      <c r="D50" s="364"/>
      <c r="E50" s="364"/>
      <c r="F50" s="340"/>
      <c r="G50" s="391"/>
      <c r="H50" s="452"/>
    </row>
    <row r="51" spans="1:8" x14ac:dyDescent="0.25">
      <c r="A51" s="364"/>
      <c r="B51" s="364"/>
      <c r="C51" s="364"/>
      <c r="D51" s="364"/>
      <c r="E51" s="364"/>
      <c r="F51" s="340"/>
      <c r="G51" s="391"/>
      <c r="H51" s="452"/>
    </row>
    <row r="52" spans="1:8" ht="62.25" customHeight="1" x14ac:dyDescent="0.25">
      <c r="A52" s="358" t="s">
        <v>179</v>
      </c>
      <c r="B52" s="358"/>
      <c r="C52" s="358" t="s">
        <v>183</v>
      </c>
      <c r="D52" s="359" t="str">
        <f>SERVIÇOS!C18</f>
        <v>DEMOLIÇÃO DE ALVENARIA DE BLOCO FURADO, DE FORMA MANUAL,
SEM REAPROVEITAMENTO</v>
      </c>
      <c r="E52" s="358" t="s">
        <v>188</v>
      </c>
      <c r="F52" s="358" t="s">
        <v>117</v>
      </c>
      <c r="G52" s="358" t="s">
        <v>118</v>
      </c>
      <c r="H52" s="358" t="s">
        <v>119</v>
      </c>
    </row>
    <row r="53" spans="1:8" x14ac:dyDescent="0.25">
      <c r="A53" s="356"/>
      <c r="B53" s="356"/>
      <c r="C53" s="360">
        <f>$C$13</f>
        <v>88309</v>
      </c>
      <c r="D53" s="357" t="str">
        <f>$D$13</f>
        <v>PEDREIRO COM ENCARGOS COMPLEMENTARES</v>
      </c>
      <c r="E53" s="356" t="s">
        <v>109</v>
      </c>
      <c r="F53" s="361">
        <v>0.7</v>
      </c>
      <c r="G53" s="451">
        <f>$F$13</f>
        <v>25.06</v>
      </c>
      <c r="H53" s="450">
        <f>F53*G53</f>
        <v>17.541999999999998</v>
      </c>
    </row>
    <row r="54" spans="1:8" x14ac:dyDescent="0.25">
      <c r="A54" s="356"/>
      <c r="B54" s="356"/>
      <c r="C54" s="360">
        <f>$C$14</f>
        <v>88316</v>
      </c>
      <c r="D54" s="357" t="str">
        <f>$D$14</f>
        <v>SERVENTE COM ENCARGOS COMPLEMENTARES</v>
      </c>
      <c r="E54" s="356" t="s">
        <v>109</v>
      </c>
      <c r="F54" s="378">
        <v>0.7</v>
      </c>
      <c r="G54" s="451">
        <f>$F$14</f>
        <v>17.37</v>
      </c>
      <c r="H54" s="450">
        <f t="shared" ref="H54" si="2">F54*G54</f>
        <v>12.159000000000001</v>
      </c>
    </row>
    <row r="55" spans="1:8" x14ac:dyDescent="0.25">
      <c r="A55" s="364"/>
      <c r="B55" s="364"/>
      <c r="C55" s="364"/>
      <c r="D55" s="364"/>
      <c r="E55" s="364"/>
      <c r="F55" s="340"/>
      <c r="G55" s="366" t="s">
        <v>11</v>
      </c>
      <c r="H55" s="450">
        <f>SUM(H53:H54)</f>
        <v>29.701000000000001</v>
      </c>
    </row>
    <row r="56" spans="1:8" x14ac:dyDescent="0.25">
      <c r="A56" s="364"/>
      <c r="B56" s="364"/>
      <c r="C56" s="364"/>
      <c r="D56" s="364"/>
      <c r="E56" s="364"/>
      <c r="F56" s="340"/>
      <c r="G56" s="391"/>
      <c r="H56" s="452"/>
    </row>
    <row r="57" spans="1:8" ht="47.25" customHeight="1" x14ac:dyDescent="0.25">
      <c r="A57" s="358" t="s">
        <v>180</v>
      </c>
      <c r="B57" s="358"/>
      <c r="C57" s="358" t="s">
        <v>183</v>
      </c>
      <c r="D57" s="359" t="str">
        <f>SERVIÇOS!C19</f>
        <v>DEMOLIÇÃO DE ALVENARIA DE TIJOLO MACIÇO, DE FORMA MANUAL</v>
      </c>
      <c r="E57" s="358" t="s">
        <v>188</v>
      </c>
      <c r="F57" s="358" t="s">
        <v>117</v>
      </c>
      <c r="G57" s="358" t="s">
        <v>118</v>
      </c>
      <c r="H57" s="358" t="s">
        <v>119</v>
      </c>
    </row>
    <row r="58" spans="1:8" x14ac:dyDescent="0.25">
      <c r="A58" s="356"/>
      <c r="B58" s="356"/>
      <c r="C58" s="360">
        <f>$C$13</f>
        <v>88309</v>
      </c>
      <c r="D58" s="357" t="str">
        <f>$D$13</f>
        <v>PEDREIRO COM ENCARGOS COMPLEMENTARES</v>
      </c>
      <c r="E58" s="356" t="s">
        <v>109</v>
      </c>
      <c r="F58" s="380">
        <v>1.5</v>
      </c>
      <c r="G58" s="451">
        <f>$F$13</f>
        <v>25.06</v>
      </c>
      <c r="H58" s="450">
        <f>F58*G58</f>
        <v>37.589999999999996</v>
      </c>
    </row>
    <row r="59" spans="1:8" x14ac:dyDescent="0.25">
      <c r="A59" s="356"/>
      <c r="B59" s="356"/>
      <c r="C59" s="360">
        <f>$C$14</f>
        <v>88316</v>
      </c>
      <c r="D59" s="357" t="str">
        <f>$D$14</f>
        <v>SERVENTE COM ENCARGOS COMPLEMENTARES</v>
      </c>
      <c r="E59" s="356" t="s">
        <v>109</v>
      </c>
      <c r="F59" s="380">
        <v>1.5</v>
      </c>
      <c r="G59" s="451">
        <f>$F$14</f>
        <v>17.37</v>
      </c>
      <c r="H59" s="450">
        <f>F59*G59</f>
        <v>26.055</v>
      </c>
    </row>
    <row r="60" spans="1:8" x14ac:dyDescent="0.25">
      <c r="A60" s="364"/>
      <c r="B60" s="364"/>
      <c r="C60" s="364"/>
      <c r="D60" s="364"/>
      <c r="E60" s="364"/>
      <c r="F60" s="340"/>
      <c r="G60" s="366" t="s">
        <v>11</v>
      </c>
      <c r="H60" s="450">
        <f>SUM(H58:H59)</f>
        <v>63.644999999999996</v>
      </c>
    </row>
    <row r="61" spans="1:8" x14ac:dyDescent="0.25">
      <c r="A61" s="364"/>
      <c r="B61" s="364"/>
      <c r="C61" s="364"/>
      <c r="D61" s="364"/>
      <c r="E61" s="364"/>
      <c r="F61" s="340"/>
      <c r="G61" s="391"/>
      <c r="H61" s="452"/>
    </row>
    <row r="62" spans="1:8" x14ac:dyDescent="0.25">
      <c r="A62" s="364"/>
      <c r="B62" s="364"/>
      <c r="C62" s="364"/>
      <c r="D62" s="364"/>
      <c r="E62" s="364"/>
      <c r="F62" s="340"/>
      <c r="G62" s="391"/>
      <c r="H62" s="452"/>
    </row>
    <row r="63" spans="1:8" x14ac:dyDescent="0.25">
      <c r="A63" s="364"/>
      <c r="B63" s="364"/>
      <c r="C63" s="364"/>
      <c r="D63" s="364"/>
      <c r="E63" s="364"/>
      <c r="F63" s="340"/>
      <c r="G63" s="391"/>
      <c r="H63" s="452"/>
    </row>
    <row r="64" spans="1:8" ht="49.5" customHeight="1" x14ac:dyDescent="0.25">
      <c r="A64" s="358" t="s">
        <v>257</v>
      </c>
      <c r="B64" s="358"/>
      <c r="C64" s="358" t="s">
        <v>183</v>
      </c>
      <c r="D64" s="359" t="str">
        <f>SERVIÇOS!C20</f>
        <v>SERVIÇOS TOPOGRÁFICOS PARA IMPLANTAÇÃO DA OBRA</v>
      </c>
      <c r="E64" s="358" t="s">
        <v>2</v>
      </c>
      <c r="F64" s="358" t="s">
        <v>117</v>
      </c>
      <c r="G64" s="358" t="s">
        <v>118</v>
      </c>
      <c r="H64" s="358" t="s">
        <v>119</v>
      </c>
    </row>
    <row r="65" spans="1:8" x14ac:dyDescent="0.25">
      <c r="A65" s="356"/>
      <c r="B65" s="356"/>
      <c r="C65" s="360" t="s">
        <v>285</v>
      </c>
      <c r="D65" s="357" t="s">
        <v>284</v>
      </c>
      <c r="E65" s="356" t="s">
        <v>111</v>
      </c>
      <c r="F65" s="380">
        <v>0.1</v>
      </c>
      <c r="G65" s="451">
        <v>17516.04</v>
      </c>
      <c r="H65" s="450">
        <f>F65*G65</f>
        <v>1751.6040000000003</v>
      </c>
    </row>
    <row r="66" spans="1:8" x14ac:dyDescent="0.25">
      <c r="A66" s="364"/>
      <c r="B66" s="364"/>
      <c r="C66" s="364"/>
      <c r="D66" s="364"/>
      <c r="E66" s="364"/>
      <c r="F66" s="340"/>
      <c r="G66" s="366" t="s">
        <v>11</v>
      </c>
      <c r="H66" s="450">
        <f>SUM(H65:H65)</f>
        <v>1751.6040000000003</v>
      </c>
    </row>
    <row r="67" spans="1:8" x14ac:dyDescent="0.25">
      <c r="A67" s="364"/>
      <c r="B67" s="364"/>
      <c r="C67" s="364"/>
      <c r="D67" s="364"/>
      <c r="E67" s="364"/>
      <c r="F67" s="340"/>
      <c r="G67" s="391"/>
      <c r="H67" s="452"/>
    </row>
    <row r="68" spans="1:8" ht="43.5" customHeight="1" x14ac:dyDescent="0.25">
      <c r="A68" s="358" t="s">
        <v>259</v>
      </c>
      <c r="B68" s="358"/>
      <c r="C68" s="358" t="s">
        <v>183</v>
      </c>
      <c r="D68" s="359" t="str">
        <f>SERVIÇOS!C21</f>
        <v>TRANSPORTE HORIZONTAL DE MATERIAIS E INSUMOS DIVERSOS</v>
      </c>
      <c r="E68" s="358" t="s">
        <v>188</v>
      </c>
      <c r="F68" s="358" t="s">
        <v>117</v>
      </c>
      <c r="G68" s="358" t="s">
        <v>118</v>
      </c>
      <c r="H68" s="358" t="s">
        <v>119</v>
      </c>
    </row>
    <row r="69" spans="1:8" ht="51.75" customHeight="1" x14ac:dyDescent="0.25">
      <c r="A69" s="356"/>
      <c r="B69" s="356"/>
      <c r="C69" s="360" t="s">
        <v>287</v>
      </c>
      <c r="D69" s="357" t="s">
        <v>286</v>
      </c>
      <c r="E69" s="356" t="s">
        <v>290</v>
      </c>
      <c r="F69" s="380">
        <v>1</v>
      </c>
      <c r="G69" s="451">
        <v>4.91</v>
      </c>
      <c r="H69" s="450">
        <f>F69*G69</f>
        <v>4.91</v>
      </c>
    </row>
    <row r="70" spans="1:8" ht="42" customHeight="1" x14ac:dyDescent="0.25">
      <c r="A70" s="356"/>
      <c r="B70" s="356"/>
      <c r="C70" s="360" t="s">
        <v>289</v>
      </c>
      <c r="D70" s="357" t="s">
        <v>288</v>
      </c>
      <c r="E70" s="356" t="s">
        <v>290</v>
      </c>
      <c r="F70" s="380">
        <v>1</v>
      </c>
      <c r="G70" s="451">
        <v>12.73</v>
      </c>
      <c r="H70" s="450">
        <f>F70*G70</f>
        <v>12.73</v>
      </c>
    </row>
    <row r="71" spans="1:8" x14ac:dyDescent="0.25">
      <c r="A71" s="364"/>
      <c r="B71" s="364"/>
      <c r="C71" s="364"/>
      <c r="D71" s="364"/>
      <c r="E71" s="364"/>
      <c r="F71" s="340"/>
      <c r="G71" s="366" t="s">
        <v>11</v>
      </c>
      <c r="H71" s="450">
        <f>SUM(H69:H70)</f>
        <v>17.64</v>
      </c>
    </row>
    <row r="72" spans="1:8" x14ac:dyDescent="0.25">
      <c r="A72" s="364"/>
      <c r="B72" s="364"/>
      <c r="C72" s="364"/>
      <c r="D72" s="364"/>
      <c r="E72" s="364"/>
      <c r="F72" s="340"/>
      <c r="G72" s="391"/>
      <c r="H72" s="452"/>
    </row>
    <row r="73" spans="1:8" x14ac:dyDescent="0.25">
      <c r="A73" s="358" t="s">
        <v>260</v>
      </c>
      <c r="B73" s="358"/>
      <c r="C73" s="358" t="s">
        <v>183</v>
      </c>
      <c r="D73" s="359" t="str">
        <f>SERVIÇOS!C22</f>
        <v>CARGA MANUAL DE MATERIAL DE SEGUNDA CATEGORIA</v>
      </c>
      <c r="E73" s="358" t="s">
        <v>184</v>
      </c>
      <c r="F73" s="358" t="s">
        <v>117</v>
      </c>
      <c r="G73" s="358" t="s">
        <v>118</v>
      </c>
      <c r="H73" s="358" t="s">
        <v>119</v>
      </c>
    </row>
    <row r="74" spans="1:8" x14ac:dyDescent="0.25">
      <c r="A74" s="356"/>
      <c r="B74" s="356"/>
      <c r="C74" s="360">
        <f>$C$14</f>
        <v>88316</v>
      </c>
      <c r="D74" s="357" t="str">
        <f>$D$13</f>
        <v>PEDREIRO COM ENCARGOS COMPLEMENTARES</v>
      </c>
      <c r="E74" s="356" t="s">
        <v>109</v>
      </c>
      <c r="F74" s="378">
        <v>0.4</v>
      </c>
      <c r="G74" s="362">
        <f>$F$14</f>
        <v>17.37</v>
      </c>
      <c r="H74" s="363">
        <f>F74*G74</f>
        <v>6.9480000000000004</v>
      </c>
    </row>
    <row r="75" spans="1:8" x14ac:dyDescent="0.25">
      <c r="A75" s="356"/>
      <c r="B75" s="356"/>
      <c r="C75" s="360"/>
      <c r="D75" s="357"/>
      <c r="E75" s="356"/>
      <c r="F75" s="378"/>
      <c r="G75" s="362"/>
      <c r="H75" s="363"/>
    </row>
    <row r="76" spans="1:8" x14ac:dyDescent="0.25">
      <c r="G76" s="366" t="s">
        <v>11</v>
      </c>
      <c r="H76" s="366">
        <f>SUM(H74:H75)</f>
        <v>6.9480000000000004</v>
      </c>
    </row>
    <row r="78" spans="1:8" ht="78.75" customHeight="1" x14ac:dyDescent="0.25">
      <c r="A78" s="358" t="s">
        <v>261</v>
      </c>
      <c r="B78" s="358"/>
      <c r="C78" s="358" t="s">
        <v>183</v>
      </c>
      <c r="D78" s="359" t="str">
        <f>SERVIÇOS!C23</f>
        <v>TRANSPORTE COM CAMINHÃO BASCULANTE DE 6 M3, EM VIA URBANA PAVIMENTADA, DMT ATÉ 30 KM (UNIDADE: M3XKM). AF_01/2018</v>
      </c>
      <c r="E78" s="358" t="str">
        <f>SERVIÇOS!D23</f>
        <v>M3XKM</v>
      </c>
      <c r="F78" s="358" t="s">
        <v>117</v>
      </c>
      <c r="G78" s="358" t="s">
        <v>118</v>
      </c>
      <c r="H78" s="358" t="s">
        <v>119</v>
      </c>
    </row>
    <row r="79" spans="1:8" ht="74.25" customHeight="1" x14ac:dyDescent="0.25">
      <c r="A79" s="356"/>
      <c r="B79" s="356"/>
      <c r="C79" s="360" t="s">
        <v>262</v>
      </c>
      <c r="D79" s="357" t="s">
        <v>292</v>
      </c>
      <c r="E79" s="360" t="s">
        <v>263</v>
      </c>
      <c r="F79" s="456">
        <v>9.2999999999999992E-3</v>
      </c>
      <c r="G79" s="362">
        <v>127.12</v>
      </c>
      <c r="H79" s="363">
        <f>F79*G79</f>
        <v>1.1822159999999999</v>
      </c>
    </row>
    <row r="80" spans="1:8" ht="74.25" customHeight="1" x14ac:dyDescent="0.25">
      <c r="A80" s="356"/>
      <c r="B80" s="356"/>
      <c r="C80" s="360" t="s">
        <v>265</v>
      </c>
      <c r="D80" s="357" t="s">
        <v>264</v>
      </c>
      <c r="E80" s="360" t="s">
        <v>266</v>
      </c>
      <c r="F80" s="456">
        <v>4.0000000000000001E-3</v>
      </c>
      <c r="G80" s="362">
        <v>39.33</v>
      </c>
      <c r="H80" s="363">
        <f>F80*G80</f>
        <v>0.15731999999999999</v>
      </c>
    </row>
    <row r="81" spans="1:8" x14ac:dyDescent="0.25">
      <c r="G81" s="366" t="s">
        <v>11</v>
      </c>
      <c r="H81" s="366">
        <f>SUM(H79:H80)</f>
        <v>1.3395359999999998</v>
      </c>
    </row>
    <row r="82" spans="1:8" x14ac:dyDescent="0.25">
      <c r="G82" s="391"/>
      <c r="H82" s="391"/>
    </row>
    <row r="83" spans="1:8" ht="26.25" x14ac:dyDescent="0.25">
      <c r="A83" s="455">
        <v>2</v>
      </c>
      <c r="B83" s="568" t="s">
        <v>110</v>
      </c>
      <c r="C83" s="569"/>
      <c r="D83" s="569"/>
      <c r="E83" s="569"/>
      <c r="F83" s="569"/>
      <c r="G83" s="569"/>
      <c r="H83" s="570"/>
    </row>
    <row r="86" spans="1:8" ht="74.25" customHeight="1" x14ac:dyDescent="0.25">
      <c r="A86" s="358" t="s">
        <v>190</v>
      </c>
      <c r="B86" s="358"/>
      <c r="C86" s="358" t="s">
        <v>183</v>
      </c>
      <c r="D86" s="359" t="str">
        <f>SERVIÇOS!C29</f>
        <v>LOCAÇÃO DE CONTAINER PARA ESCRITÓRIO/ALMOXARIFADO</v>
      </c>
      <c r="E86" s="358" t="e">
        <f>SERVIÇOS!#REF!</f>
        <v>#REF!</v>
      </c>
      <c r="F86" s="358" t="s">
        <v>117</v>
      </c>
      <c r="G86" s="358" t="s">
        <v>118</v>
      </c>
      <c r="H86" s="358" t="s">
        <v>119</v>
      </c>
    </row>
    <row r="87" spans="1:8" ht="59.25" customHeight="1" x14ac:dyDescent="0.25">
      <c r="A87" s="356"/>
      <c r="B87" s="356"/>
      <c r="C87" s="360" t="s">
        <v>274</v>
      </c>
      <c r="D87" s="357" t="s">
        <v>273</v>
      </c>
      <c r="E87" s="360" t="s">
        <v>111</v>
      </c>
      <c r="F87" s="378">
        <v>1</v>
      </c>
      <c r="G87" s="362">
        <v>585</v>
      </c>
      <c r="H87" s="363">
        <f>F87*G87</f>
        <v>585</v>
      </c>
    </row>
    <row r="88" spans="1:8" x14ac:dyDescent="0.25">
      <c r="G88" s="365" t="s">
        <v>11</v>
      </c>
      <c r="H88" s="375">
        <f>SUM(H87:H87)</f>
        <v>585</v>
      </c>
    </row>
    <row r="91" spans="1:8" ht="26.25" x14ac:dyDescent="0.25">
      <c r="A91" s="455">
        <v>3</v>
      </c>
      <c r="B91" s="568" t="s">
        <v>192</v>
      </c>
      <c r="C91" s="569"/>
      <c r="D91" s="569"/>
      <c r="E91" s="569"/>
      <c r="F91" s="569"/>
      <c r="G91" s="569"/>
      <c r="H91" s="570"/>
    </row>
    <row r="94" spans="1:8" ht="57.75" customHeight="1" x14ac:dyDescent="0.25">
      <c r="A94" s="358" t="s">
        <v>128</v>
      </c>
      <c r="B94" s="358"/>
      <c r="C94" s="358" t="s">
        <v>183</v>
      </c>
      <c r="D94" s="359" t="str">
        <f>SERVIÇOS!C32</f>
        <v>REMOÇÃO DE PISO INTERTRAVADO COM REAPROVEITAMENTO</v>
      </c>
      <c r="E94" s="358" t="str">
        <f>SERVIÇOS!D32</f>
        <v>M²</v>
      </c>
      <c r="F94" s="358" t="s">
        <v>117</v>
      </c>
      <c r="G94" s="358" t="s">
        <v>118</v>
      </c>
      <c r="H94" s="358" t="s">
        <v>119</v>
      </c>
    </row>
    <row r="95" spans="1:8" x14ac:dyDescent="0.25">
      <c r="A95" s="356"/>
      <c r="B95" s="356"/>
      <c r="C95" s="360">
        <f>$C$14</f>
        <v>88316</v>
      </c>
      <c r="D95" s="357" t="str">
        <f>$D$14</f>
        <v>SERVENTE COM ENCARGOS COMPLEMENTARES</v>
      </c>
      <c r="E95" s="360" t="s">
        <v>109</v>
      </c>
      <c r="F95" s="378">
        <v>0.2</v>
      </c>
      <c r="G95" s="362">
        <f>F14</f>
        <v>17.37</v>
      </c>
      <c r="H95" s="363">
        <f>F95*G95</f>
        <v>3.4740000000000002</v>
      </c>
    </row>
    <row r="96" spans="1:8" x14ac:dyDescent="0.25">
      <c r="C96" s="360"/>
      <c r="D96" s="357"/>
      <c r="E96" s="360" t="s">
        <v>109</v>
      </c>
      <c r="F96" s="378">
        <f>F95</f>
        <v>0.2</v>
      </c>
      <c r="G96" s="365">
        <f>F14</f>
        <v>17.37</v>
      </c>
      <c r="H96" s="363">
        <f>F96*G96</f>
        <v>3.4740000000000002</v>
      </c>
    </row>
    <row r="97" spans="1:8" x14ac:dyDescent="0.25">
      <c r="G97" s="365" t="s">
        <v>11</v>
      </c>
      <c r="H97" s="375">
        <f>SUM(H95:H96)</f>
        <v>6.9480000000000004</v>
      </c>
    </row>
    <row r="98" spans="1:8" x14ac:dyDescent="0.25">
      <c r="G98" s="391"/>
      <c r="H98" s="392"/>
    </row>
    <row r="100" spans="1:8" x14ac:dyDescent="0.25">
      <c r="A100" s="358" t="s">
        <v>129</v>
      </c>
      <c r="B100" s="358"/>
      <c r="C100" s="358" t="s">
        <v>183</v>
      </c>
      <c r="D100" s="359" t="str">
        <f>SERVIÇOS!C33</f>
        <v>ESCAVAÇÃO MANUAL H=5CM</v>
      </c>
      <c r="E100" s="358" t="s">
        <v>2</v>
      </c>
      <c r="F100" s="358" t="s">
        <v>117</v>
      </c>
      <c r="G100" s="358" t="s">
        <v>118</v>
      </c>
      <c r="H100" s="358" t="s">
        <v>119</v>
      </c>
    </row>
    <row r="101" spans="1:8" x14ac:dyDescent="0.25">
      <c r="A101" s="356"/>
      <c r="B101" s="356"/>
      <c r="C101" s="360">
        <f>$C$14</f>
        <v>88316</v>
      </c>
      <c r="D101" s="357" t="str">
        <f>$D$14</f>
        <v>SERVENTE COM ENCARGOS COMPLEMENTARES</v>
      </c>
      <c r="E101" s="360" t="s">
        <v>109</v>
      </c>
      <c r="F101" s="378">
        <v>3</v>
      </c>
      <c r="G101" s="362">
        <f>$F$14</f>
        <v>17.37</v>
      </c>
      <c r="H101" s="363">
        <f>F101*G101</f>
        <v>52.11</v>
      </c>
    </row>
    <row r="102" spans="1:8" x14ac:dyDescent="0.25">
      <c r="G102" s="365" t="s">
        <v>11</v>
      </c>
      <c r="H102" s="375">
        <f>SUM(H101:H101)</f>
        <v>52.11</v>
      </c>
    </row>
    <row r="105" spans="1:8" ht="41.25" customHeight="1" x14ac:dyDescent="0.25">
      <c r="A105" s="358" t="s">
        <v>130</v>
      </c>
      <c r="B105" s="358"/>
      <c r="C105" s="358" t="s">
        <v>183</v>
      </c>
      <c r="D105" s="359" t="str">
        <f>SERVIÇOS!C34</f>
        <v>TRANSPORTE HORIZONTAL DE MATERIAIS E INSUMOS DIVERSOS</v>
      </c>
      <c r="E105" s="358" t="s">
        <v>184</v>
      </c>
      <c r="F105" s="358" t="s">
        <v>117</v>
      </c>
      <c r="G105" s="358" t="s">
        <v>118</v>
      </c>
      <c r="H105" s="358" t="s">
        <v>119</v>
      </c>
    </row>
    <row r="106" spans="1:8" ht="54.75" customHeight="1" x14ac:dyDescent="0.25">
      <c r="A106" s="356"/>
      <c r="B106" s="356"/>
      <c r="C106" s="360" t="s">
        <v>287</v>
      </c>
      <c r="D106" s="357" t="s">
        <v>286</v>
      </c>
      <c r="E106" s="356" t="s">
        <v>290</v>
      </c>
      <c r="F106" s="380">
        <v>1</v>
      </c>
      <c r="G106" s="451">
        <v>4.91</v>
      </c>
      <c r="H106" s="448">
        <f>F106*G106</f>
        <v>4.91</v>
      </c>
    </row>
    <row r="107" spans="1:8" ht="45" customHeight="1" x14ac:dyDescent="0.25">
      <c r="A107" s="356"/>
      <c r="B107" s="356"/>
      <c r="C107" s="360" t="s">
        <v>289</v>
      </c>
      <c r="D107" s="357" t="s">
        <v>288</v>
      </c>
      <c r="E107" s="356" t="s">
        <v>290</v>
      </c>
      <c r="F107" s="380">
        <v>1</v>
      </c>
      <c r="G107" s="451">
        <v>12.73</v>
      </c>
      <c r="H107" s="448">
        <f>F107*G107</f>
        <v>12.73</v>
      </c>
    </row>
    <row r="108" spans="1:8" x14ac:dyDescent="0.25">
      <c r="G108" s="366" t="s">
        <v>11</v>
      </c>
      <c r="H108" s="377">
        <f>SUM(H106:H107)</f>
        <v>17.64</v>
      </c>
    </row>
    <row r="110" spans="1:8" ht="36.75" customHeight="1" x14ac:dyDescent="0.25">
      <c r="A110" s="358" t="s">
        <v>134</v>
      </c>
      <c r="B110" s="358"/>
      <c r="C110" s="358" t="s">
        <v>183</v>
      </c>
      <c r="D110" s="359" t="str">
        <f>SERVIÇOS!C35</f>
        <v>CARGA MANUAL DE MATERIAL DE SEGUNDA CATEGORIA</v>
      </c>
      <c r="E110" s="358" t="s">
        <v>184</v>
      </c>
      <c r="F110" s="358" t="s">
        <v>117</v>
      </c>
      <c r="G110" s="358" t="s">
        <v>118</v>
      </c>
      <c r="H110" s="358" t="s">
        <v>119</v>
      </c>
    </row>
    <row r="111" spans="1:8" x14ac:dyDescent="0.25">
      <c r="A111" s="356"/>
      <c r="B111" s="356"/>
      <c r="C111" s="360">
        <f>$C$14</f>
        <v>88316</v>
      </c>
      <c r="D111" s="357" t="str">
        <f>$D$13</f>
        <v>PEDREIRO COM ENCARGOS COMPLEMENTARES</v>
      </c>
      <c r="E111" s="356" t="s">
        <v>109</v>
      </c>
      <c r="F111" s="378">
        <v>0.4</v>
      </c>
      <c r="G111" s="362">
        <f>$F$14</f>
        <v>17.37</v>
      </c>
      <c r="H111" s="363">
        <f>F111*G111</f>
        <v>6.9480000000000004</v>
      </c>
    </row>
    <row r="112" spans="1:8" x14ac:dyDescent="0.25">
      <c r="G112" s="365" t="s">
        <v>11</v>
      </c>
      <c r="H112" s="375">
        <f>SUM(H111:H111)</f>
        <v>6.9480000000000004</v>
      </c>
    </row>
    <row r="115" spans="1:8" x14ac:dyDescent="0.25">
      <c r="A115" s="358" t="s">
        <v>136</v>
      </c>
      <c r="B115" s="358"/>
      <c r="C115" s="358" t="s">
        <v>183</v>
      </c>
      <c r="D115" s="359" t="str">
        <f>SERVIÇOS!C35</f>
        <v>CARGA MANUAL DE MATERIAL DE SEGUNDA CATEGORIA</v>
      </c>
      <c r="E115" s="358" t="s">
        <v>184</v>
      </c>
      <c r="F115" s="358" t="s">
        <v>117</v>
      </c>
      <c r="G115" s="358" t="s">
        <v>118</v>
      </c>
      <c r="H115" s="358" t="s">
        <v>119</v>
      </c>
    </row>
    <row r="116" spans="1:8" ht="63" x14ac:dyDescent="0.25">
      <c r="A116" s="356"/>
      <c r="B116" s="356"/>
      <c r="C116" s="360" t="s">
        <v>262</v>
      </c>
      <c r="D116" s="357" t="s">
        <v>292</v>
      </c>
      <c r="E116" s="360" t="s">
        <v>263</v>
      </c>
      <c r="F116" s="456">
        <v>9.2999999999999992E-3</v>
      </c>
      <c r="G116" s="362">
        <v>127.12</v>
      </c>
      <c r="H116" s="363">
        <f>F116*G116</f>
        <v>1.1822159999999999</v>
      </c>
    </row>
    <row r="117" spans="1:8" ht="63" x14ac:dyDescent="0.25">
      <c r="A117" s="356"/>
      <c r="B117" s="356"/>
      <c r="C117" s="360" t="s">
        <v>265</v>
      </c>
      <c r="D117" s="357" t="s">
        <v>264</v>
      </c>
      <c r="E117" s="360" t="s">
        <v>266</v>
      </c>
      <c r="F117" s="456">
        <v>4.0000000000000001E-3</v>
      </c>
      <c r="G117" s="362">
        <v>39.33</v>
      </c>
      <c r="H117" s="363">
        <f>F117*G117</f>
        <v>0.15731999999999999</v>
      </c>
    </row>
    <row r="118" spans="1:8" x14ac:dyDescent="0.25">
      <c r="G118" s="365" t="s">
        <v>11</v>
      </c>
      <c r="H118" s="375">
        <f>SUM(H116:H117)</f>
        <v>1.3395359999999998</v>
      </c>
    </row>
    <row r="120" spans="1:8" ht="80.25" customHeight="1" x14ac:dyDescent="0.25">
      <c r="A120" s="358" t="s">
        <v>137</v>
      </c>
      <c r="B120" s="358"/>
      <c r="C120" s="358" t="s">
        <v>183</v>
      </c>
      <c r="D120" s="359" t="str">
        <f>SERVIÇOS!C37</f>
        <v>COMPACTAÇÃO MANUAL COM COMPACTADOR A PERCUSSÃO
SAPINHO, SEM CONTROLE DO GRAU DE COMPACTAÇÃO</v>
      </c>
      <c r="E120" s="358" t="s">
        <v>184</v>
      </c>
      <c r="F120" s="358" t="s">
        <v>117</v>
      </c>
      <c r="G120" s="358" t="s">
        <v>118</v>
      </c>
      <c r="H120" s="358" t="s">
        <v>119</v>
      </c>
    </row>
    <row r="121" spans="1:8" ht="41.25" customHeight="1" x14ac:dyDescent="0.25">
      <c r="A121" s="356"/>
      <c r="B121" s="356"/>
      <c r="C121" s="360" t="s">
        <v>295</v>
      </c>
      <c r="D121" s="357" t="s">
        <v>294</v>
      </c>
      <c r="E121" s="360" t="s">
        <v>109</v>
      </c>
      <c r="F121" s="378">
        <v>0.08</v>
      </c>
      <c r="G121" s="362">
        <v>69.19</v>
      </c>
      <c r="H121" s="363">
        <f>F121*G121</f>
        <v>5.5351999999999997</v>
      </c>
    </row>
    <row r="122" spans="1:8" ht="33" customHeight="1" x14ac:dyDescent="0.25">
      <c r="A122" s="356"/>
      <c r="B122" s="356"/>
      <c r="C122" s="360" t="s">
        <v>296</v>
      </c>
      <c r="D122" s="357" t="s">
        <v>297</v>
      </c>
      <c r="E122" s="360" t="s">
        <v>109</v>
      </c>
      <c r="F122" s="378">
        <v>0.08</v>
      </c>
      <c r="G122" s="362">
        <v>2.74</v>
      </c>
      <c r="H122" s="363">
        <f t="shared" ref="H122:H123" si="3">F122*G122</f>
        <v>0.21920000000000003</v>
      </c>
    </row>
    <row r="123" spans="1:8" ht="21.75" customHeight="1" x14ac:dyDescent="0.25">
      <c r="A123" s="356"/>
      <c r="B123" s="356"/>
      <c r="C123" s="360">
        <f>$C$14</f>
        <v>88316</v>
      </c>
      <c r="D123" s="357" t="str">
        <f>$D$14</f>
        <v>SERVENTE COM ENCARGOS COMPLEMENTARES</v>
      </c>
      <c r="E123" s="360" t="s">
        <v>109</v>
      </c>
      <c r="F123" s="378">
        <v>0.08</v>
      </c>
      <c r="G123" s="362">
        <f>$F$14</f>
        <v>17.37</v>
      </c>
      <c r="H123" s="363">
        <f t="shared" si="3"/>
        <v>1.3896000000000002</v>
      </c>
    </row>
    <row r="124" spans="1:8" x14ac:dyDescent="0.25">
      <c r="G124" s="366" t="s">
        <v>11</v>
      </c>
      <c r="H124" s="377">
        <f>SUM(H121:H123)</f>
        <v>7.1440000000000001</v>
      </c>
    </row>
    <row r="127" spans="1:8" ht="93" customHeight="1" x14ac:dyDescent="0.25">
      <c r="A127" s="358" t="s">
        <v>138</v>
      </c>
      <c r="B127" s="358"/>
      <c r="C127" s="358" t="s">
        <v>183</v>
      </c>
      <c r="D127" s="359" t="str">
        <f>SERVIÇOS!C38</f>
        <v>EXECUÇÃO DE PASSEIO (CALÇADA) OU PISO DE CONCRETO COM CONCRETO MOLDADO IN LOCO, USINADO, ACABAMENTO CONVENCIONAL, ESPESSURA 10 CM, ARMADO</v>
      </c>
      <c r="E127" s="358" t="s">
        <v>184</v>
      </c>
      <c r="F127" s="358" t="s">
        <v>117</v>
      </c>
      <c r="G127" s="358" t="s">
        <v>118</v>
      </c>
      <c r="H127" s="358" t="s">
        <v>119</v>
      </c>
    </row>
    <row r="128" spans="1:8" ht="29.25" customHeight="1" x14ac:dyDescent="0.25">
      <c r="A128" s="356"/>
      <c r="B128" s="356"/>
      <c r="C128" s="360">
        <v>3777</v>
      </c>
      <c r="D128" s="357" t="s">
        <v>299</v>
      </c>
      <c r="E128" s="360" t="s">
        <v>184</v>
      </c>
      <c r="F128" s="378">
        <v>1.1279999999999999</v>
      </c>
      <c r="G128" s="362">
        <v>1.5</v>
      </c>
      <c r="H128" s="363">
        <f>F128*G128</f>
        <v>1.6919999999999997</v>
      </c>
    </row>
    <row r="129" spans="1:8" ht="68.25" customHeight="1" x14ac:dyDescent="0.25">
      <c r="A129" s="356"/>
      <c r="B129" s="356"/>
      <c r="C129" s="360">
        <v>4460</v>
      </c>
      <c r="D129" s="357" t="s">
        <v>300</v>
      </c>
      <c r="E129" s="360" t="s">
        <v>107</v>
      </c>
      <c r="F129" s="378">
        <v>0.25</v>
      </c>
      <c r="G129" s="362">
        <v>11.08</v>
      </c>
      <c r="H129" s="363">
        <f t="shared" ref="H129:H135" si="4">F129*G129</f>
        <v>2.77</v>
      </c>
    </row>
    <row r="130" spans="1:8" ht="31.5" x14ac:dyDescent="0.25">
      <c r="A130" s="356"/>
      <c r="B130" s="356"/>
      <c r="C130" s="360">
        <v>4517</v>
      </c>
      <c r="D130" s="357" t="s">
        <v>301</v>
      </c>
      <c r="E130" s="360" t="s">
        <v>107</v>
      </c>
      <c r="F130" s="378">
        <v>0.2</v>
      </c>
      <c r="G130" s="362">
        <v>2.9</v>
      </c>
      <c r="H130" s="363">
        <f t="shared" si="4"/>
        <v>0.57999999999999996</v>
      </c>
    </row>
    <row r="131" spans="1:8" ht="75.75" customHeight="1" x14ac:dyDescent="0.25">
      <c r="A131" s="356"/>
      <c r="B131" s="356"/>
      <c r="C131" s="360">
        <v>7156</v>
      </c>
      <c r="D131" s="357" t="s">
        <v>302</v>
      </c>
      <c r="E131" s="360" t="s">
        <v>184</v>
      </c>
      <c r="F131" s="378">
        <v>1.1224000000000001</v>
      </c>
      <c r="G131" s="362">
        <v>45.25</v>
      </c>
      <c r="H131" s="363">
        <f t="shared" si="4"/>
        <v>50.788600000000002</v>
      </c>
    </row>
    <row r="132" spans="1:8" ht="40.5" customHeight="1" x14ac:dyDescent="0.25">
      <c r="A132" s="356"/>
      <c r="B132" s="356"/>
      <c r="C132" s="360">
        <v>88262</v>
      </c>
      <c r="D132" s="357" t="s">
        <v>303</v>
      </c>
      <c r="E132" s="360" t="s">
        <v>109</v>
      </c>
      <c r="F132" s="378">
        <v>0.05</v>
      </c>
      <c r="G132" s="362">
        <v>24.83</v>
      </c>
      <c r="H132" s="363">
        <f t="shared" si="4"/>
        <v>1.2415</v>
      </c>
    </row>
    <row r="133" spans="1:8" ht="40.5" customHeight="1" x14ac:dyDescent="0.25">
      <c r="A133" s="356"/>
      <c r="B133" s="356"/>
      <c r="C133" s="360">
        <f>$C$13</f>
        <v>88309</v>
      </c>
      <c r="D133" s="357" t="str">
        <f>$D$13</f>
        <v>PEDREIRO COM ENCARGOS COMPLEMENTARES</v>
      </c>
      <c r="E133" s="360" t="s">
        <v>109</v>
      </c>
      <c r="F133" s="378">
        <v>0.15</v>
      </c>
      <c r="G133" s="362">
        <f>$F$13</f>
        <v>25.06</v>
      </c>
      <c r="H133" s="363">
        <f t="shared" si="4"/>
        <v>3.7589999999999995</v>
      </c>
    </row>
    <row r="134" spans="1:8" ht="29.25" customHeight="1" x14ac:dyDescent="0.25">
      <c r="A134" s="356"/>
      <c r="B134" s="356"/>
      <c r="C134" s="360">
        <f>$C$14</f>
        <v>88316</v>
      </c>
      <c r="D134" s="357" t="str">
        <f>$D$14</f>
        <v>SERVENTE COM ENCARGOS COMPLEMENTARES</v>
      </c>
      <c r="E134" s="360" t="s">
        <v>109</v>
      </c>
      <c r="F134" s="378">
        <v>0.15</v>
      </c>
      <c r="G134" s="362">
        <f>$F$14</f>
        <v>17.37</v>
      </c>
      <c r="H134" s="363">
        <f t="shared" si="4"/>
        <v>2.6055000000000001</v>
      </c>
    </row>
    <row r="135" spans="1:8" ht="68.25" customHeight="1" x14ac:dyDescent="0.25">
      <c r="A135" s="356"/>
      <c r="B135" s="356"/>
      <c r="C135" s="360">
        <v>94964</v>
      </c>
      <c r="D135" s="357" t="s">
        <v>304</v>
      </c>
      <c r="E135" s="360" t="s">
        <v>188</v>
      </c>
      <c r="F135" s="378">
        <v>0.12130000000000001</v>
      </c>
      <c r="G135" s="362">
        <v>431.72</v>
      </c>
      <c r="H135" s="363">
        <f t="shared" si="4"/>
        <v>52.367636000000005</v>
      </c>
    </row>
    <row r="136" spans="1:8" x14ac:dyDescent="0.25">
      <c r="G136" s="366" t="s">
        <v>11</v>
      </c>
      <c r="H136" s="377">
        <f>SUM(H128:H135)</f>
        <v>115.804236</v>
      </c>
    </row>
    <row r="137" spans="1:8" x14ac:dyDescent="0.25">
      <c r="G137" s="391"/>
      <c r="H137" s="392"/>
    </row>
    <row r="138" spans="1:8" x14ac:dyDescent="0.25">
      <c r="G138" s="391"/>
      <c r="H138" s="392"/>
    </row>
    <row r="140" spans="1:8" ht="122.25" customHeight="1" x14ac:dyDescent="0.25">
      <c r="A140" s="358" t="s">
        <v>139</v>
      </c>
      <c r="B140" s="358"/>
      <c r="C140" s="358" t="s">
        <v>183</v>
      </c>
      <c r="D140" s="359" t="str">
        <f>SERVIÇOS!C39</f>
        <v>PISO TÁTIL DIRECIONAL E/OU ALERTA, DE CONCRETO, COLORIDO, P/DEFICIENTES VISUAIS, DIMENSÕES 40X40CM, APLICADO COM ARGAMASSA INDUSTRIALIZADA AC-II, REJUNTADO, EXCLUSIVE REGULARIZAÇÃO DE BASE</v>
      </c>
      <c r="E140" s="358" t="s">
        <v>184</v>
      </c>
      <c r="F140" s="358" t="s">
        <v>117</v>
      </c>
      <c r="G140" s="358" t="s">
        <v>118</v>
      </c>
      <c r="H140" s="358" t="s">
        <v>119</v>
      </c>
    </row>
    <row r="141" spans="1:8" ht="36.75" customHeight="1" x14ac:dyDescent="0.25">
      <c r="A141" s="356"/>
      <c r="B141" s="356"/>
      <c r="C141" s="360" t="s">
        <v>200</v>
      </c>
      <c r="D141" s="357" t="s">
        <v>199</v>
      </c>
      <c r="E141" s="360" t="s">
        <v>193</v>
      </c>
      <c r="F141" s="361">
        <v>0.33</v>
      </c>
      <c r="G141" s="362">
        <v>5.5</v>
      </c>
      <c r="H141" s="363">
        <f>F141*G141</f>
        <v>1.8150000000000002</v>
      </c>
    </row>
    <row r="142" spans="1:8" ht="21" customHeight="1" x14ac:dyDescent="0.25">
      <c r="A142" s="356"/>
      <c r="B142" s="356"/>
      <c r="C142" s="360" t="s">
        <v>306</v>
      </c>
      <c r="D142" s="357" t="s">
        <v>307</v>
      </c>
      <c r="E142" s="360" t="s">
        <v>193</v>
      </c>
      <c r="F142" s="361">
        <v>4</v>
      </c>
      <c r="G142" s="362">
        <v>1.04</v>
      </c>
      <c r="H142" s="363">
        <f t="shared" ref="H142:H145" si="5">F142*G142</f>
        <v>4.16</v>
      </c>
    </row>
    <row r="143" spans="1:8" x14ac:dyDescent="0.25">
      <c r="A143" s="356"/>
      <c r="B143" s="356"/>
      <c r="C143" s="360">
        <f>$C$13</f>
        <v>88309</v>
      </c>
      <c r="D143" s="357" t="str">
        <f>$D$13</f>
        <v>PEDREIRO COM ENCARGOS COMPLEMENTARES</v>
      </c>
      <c r="E143" s="360" t="s">
        <v>109</v>
      </c>
      <c r="F143" s="361">
        <v>0.5</v>
      </c>
      <c r="G143" s="362">
        <v>0.5</v>
      </c>
      <c r="H143" s="363">
        <f t="shared" si="5"/>
        <v>0.25</v>
      </c>
    </row>
    <row r="144" spans="1:8" x14ac:dyDescent="0.25">
      <c r="A144" s="356"/>
      <c r="B144" s="356"/>
      <c r="C144" s="360">
        <f>$C$14</f>
        <v>88316</v>
      </c>
      <c r="D144" s="357" t="str">
        <f>$D$14</f>
        <v>SERVENTE COM ENCARGOS COMPLEMENTARES</v>
      </c>
      <c r="E144" s="360" t="s">
        <v>109</v>
      </c>
      <c r="F144" s="361">
        <f>F143</f>
        <v>0.5</v>
      </c>
      <c r="G144" s="362">
        <f>$F$14</f>
        <v>17.37</v>
      </c>
      <c r="H144" s="363">
        <f t="shared" si="5"/>
        <v>8.6850000000000005</v>
      </c>
    </row>
    <row r="145" spans="1:8" ht="41.25" customHeight="1" x14ac:dyDescent="0.25">
      <c r="A145" s="356"/>
      <c r="B145" s="356"/>
      <c r="C145" s="360" t="s">
        <v>308</v>
      </c>
      <c r="D145" s="357" t="s">
        <v>309</v>
      </c>
      <c r="E145" s="360" t="s">
        <v>2</v>
      </c>
      <c r="F145" s="361">
        <v>6.56</v>
      </c>
      <c r="G145" s="362">
        <v>9.01</v>
      </c>
      <c r="H145" s="363">
        <f t="shared" si="5"/>
        <v>59.105599999999995</v>
      </c>
    </row>
    <row r="146" spans="1:8" x14ac:dyDescent="0.25">
      <c r="G146" s="366" t="s">
        <v>11</v>
      </c>
      <c r="H146" s="377">
        <f>SUM(H141:H145)</f>
        <v>74.015599999999992</v>
      </c>
    </row>
    <row r="147" spans="1:8" x14ac:dyDescent="0.25">
      <c r="G147" s="391"/>
      <c r="H147" s="392"/>
    </row>
    <row r="148" spans="1:8" x14ac:dyDescent="0.25">
      <c r="G148" s="391"/>
      <c r="H148" s="392"/>
    </row>
    <row r="150" spans="1:8" ht="48" customHeight="1" x14ac:dyDescent="0.25">
      <c r="A150" s="358" t="s">
        <v>140</v>
      </c>
      <c r="B150" s="358"/>
      <c r="C150" s="358" t="s">
        <v>183</v>
      </c>
      <c r="D150" s="359" t="str">
        <f>SERVIÇOS!C40</f>
        <v>APLICACAO DE TINTA A BASE DE EPOXI SOBRE PISO</v>
      </c>
      <c r="E150" s="358" t="s">
        <v>188</v>
      </c>
      <c r="F150" s="358" t="s">
        <v>117</v>
      </c>
      <c r="G150" s="358" t="s">
        <v>118</v>
      </c>
      <c r="H150" s="358" t="s">
        <v>119</v>
      </c>
    </row>
    <row r="151" spans="1:8" ht="34.5" customHeight="1" x14ac:dyDescent="0.25">
      <c r="A151" s="356"/>
      <c r="B151" s="356"/>
      <c r="C151" s="360" t="s">
        <v>312</v>
      </c>
      <c r="D151" s="357" t="s">
        <v>311</v>
      </c>
      <c r="E151" s="360" t="s">
        <v>203</v>
      </c>
      <c r="F151" s="378">
        <v>0.52559999999999996</v>
      </c>
      <c r="G151" s="362">
        <v>60.76</v>
      </c>
      <c r="H151" s="363">
        <f>F151*G151</f>
        <v>31.935455999999995</v>
      </c>
    </row>
    <row r="152" spans="1:8" ht="34.5" customHeight="1" x14ac:dyDescent="0.25">
      <c r="A152" s="356"/>
      <c r="B152" s="356"/>
      <c r="C152" s="360">
        <f>$C$13</f>
        <v>88309</v>
      </c>
      <c r="D152" s="357" t="str">
        <f>$D$13</f>
        <v>PEDREIRO COM ENCARGOS COMPLEMENTARES</v>
      </c>
      <c r="E152" s="360" t="s">
        <v>109</v>
      </c>
      <c r="F152" s="378">
        <v>0.3</v>
      </c>
      <c r="G152" s="362">
        <f>$F$13</f>
        <v>25.06</v>
      </c>
      <c r="H152" s="363">
        <f t="shared" ref="H152:H153" si="6">F152*G152</f>
        <v>7.5179999999999989</v>
      </c>
    </row>
    <row r="153" spans="1:8" ht="34.5" customHeight="1" x14ac:dyDescent="0.25">
      <c r="A153" s="356"/>
      <c r="B153" s="356"/>
      <c r="C153" s="360">
        <f>$C$14</f>
        <v>88316</v>
      </c>
      <c r="D153" s="357" t="str">
        <f>$D$14</f>
        <v>SERVENTE COM ENCARGOS COMPLEMENTARES</v>
      </c>
      <c r="E153" s="360" t="s">
        <v>109</v>
      </c>
      <c r="F153" s="378">
        <v>0.3</v>
      </c>
      <c r="G153" s="362">
        <f>$F$14</f>
        <v>17.37</v>
      </c>
      <c r="H153" s="363">
        <f t="shared" si="6"/>
        <v>5.2110000000000003</v>
      </c>
    </row>
    <row r="154" spans="1:8" x14ac:dyDescent="0.25">
      <c r="G154" s="366" t="s">
        <v>11</v>
      </c>
      <c r="H154" s="377">
        <f>SUM(H151:H153)</f>
        <v>44.664455999999994</v>
      </c>
    </row>
    <row r="156" spans="1:8" x14ac:dyDescent="0.25">
      <c r="A156" s="358" t="s">
        <v>141</v>
      </c>
      <c r="B156" s="358"/>
      <c r="C156" s="358" t="s">
        <v>183</v>
      </c>
      <c r="D156" s="359" t="str">
        <f>SERVIÇOS!C41</f>
        <v>DEMOLIÇÃO DE CONCRETO (PASSEIO)</v>
      </c>
      <c r="E156" s="358" t="s">
        <v>188</v>
      </c>
      <c r="F156" s="358" t="s">
        <v>117</v>
      </c>
      <c r="G156" s="358" t="s">
        <v>118</v>
      </c>
      <c r="H156" s="358" t="s">
        <v>119</v>
      </c>
    </row>
    <row r="157" spans="1:8" x14ac:dyDescent="0.25">
      <c r="A157" s="356"/>
      <c r="B157" s="356"/>
      <c r="C157" s="360">
        <f>$C$13</f>
        <v>88309</v>
      </c>
      <c r="D157" s="357" t="str">
        <f>$D$13</f>
        <v>PEDREIRO COM ENCARGOS COMPLEMENTARES</v>
      </c>
      <c r="E157" s="360" t="s">
        <v>109</v>
      </c>
      <c r="F157" s="378">
        <v>3.5</v>
      </c>
      <c r="G157" s="362">
        <f>$F$13</f>
        <v>25.06</v>
      </c>
      <c r="H157" s="363">
        <f>F157*G157</f>
        <v>87.71</v>
      </c>
    </row>
    <row r="158" spans="1:8" x14ac:dyDescent="0.25">
      <c r="A158" s="356"/>
      <c r="B158" s="356"/>
      <c r="C158" s="360">
        <f>$C$14</f>
        <v>88316</v>
      </c>
      <c r="D158" s="357" t="str">
        <f>$D$14</f>
        <v>SERVENTE COM ENCARGOS COMPLEMENTARES</v>
      </c>
      <c r="E158" s="360" t="s">
        <v>109</v>
      </c>
      <c r="F158" s="378">
        <f>F157</f>
        <v>3.5</v>
      </c>
      <c r="G158" s="362">
        <f>$F$14</f>
        <v>17.37</v>
      </c>
      <c r="H158" s="363">
        <f>F158*G158</f>
        <v>60.795000000000002</v>
      </c>
    </row>
    <row r="159" spans="1:8" x14ac:dyDescent="0.25">
      <c r="G159" s="365" t="s">
        <v>11</v>
      </c>
      <c r="H159" s="375">
        <f>SUM(H157:H158)</f>
        <v>148.505</v>
      </c>
    </row>
    <row r="160" spans="1:8" x14ac:dyDescent="0.25">
      <c r="G160" s="391"/>
      <c r="H160" s="392"/>
    </row>
    <row r="161" spans="1:8" ht="85.5" customHeight="1" x14ac:dyDescent="0.25">
      <c r="A161" s="358" t="s">
        <v>142</v>
      </c>
      <c r="B161" s="358"/>
      <c r="C161" s="358" t="s">
        <v>183</v>
      </c>
      <c r="D161" s="359" t="str">
        <f>SERVIÇOS!C42</f>
        <v>EXECUÇÃO DE PASSEIO (CALÇADA) OU PISO DE CONCRETO COM CONCRETO MOLDADO IN LOCO, USINADO, ACABAMENTO CONVENCIONAL, ESPESSURA 10 CM, ARMADO</v>
      </c>
      <c r="E161" s="358" t="s">
        <v>184</v>
      </c>
      <c r="F161" s="358" t="s">
        <v>117</v>
      </c>
      <c r="G161" s="358" t="s">
        <v>118</v>
      </c>
      <c r="H161" s="358" t="s">
        <v>119</v>
      </c>
    </row>
    <row r="162" spans="1:8" x14ac:dyDescent="0.25">
      <c r="A162" s="356"/>
      <c r="B162" s="356"/>
      <c r="C162" s="360">
        <v>3777</v>
      </c>
      <c r="D162" s="357" t="s">
        <v>299</v>
      </c>
      <c r="E162" s="360" t="s">
        <v>184</v>
      </c>
      <c r="F162" s="378">
        <v>1.1279999999999999</v>
      </c>
      <c r="G162" s="362">
        <v>1.5</v>
      </c>
      <c r="H162" s="363">
        <f>F162*G162</f>
        <v>1.6919999999999997</v>
      </c>
    </row>
    <row r="163" spans="1:8" ht="57" customHeight="1" x14ac:dyDescent="0.25">
      <c r="A163" s="356"/>
      <c r="B163" s="356"/>
      <c r="C163" s="360">
        <v>4460</v>
      </c>
      <c r="D163" s="357" t="s">
        <v>300</v>
      </c>
      <c r="E163" s="360" t="s">
        <v>107</v>
      </c>
      <c r="F163" s="378">
        <v>0.25</v>
      </c>
      <c r="G163" s="362">
        <v>11.08</v>
      </c>
      <c r="H163" s="363">
        <f t="shared" ref="H163:H169" si="7">F163*G163</f>
        <v>2.77</v>
      </c>
    </row>
    <row r="164" spans="1:8" ht="40.5" customHeight="1" x14ac:dyDescent="0.25">
      <c r="A164" s="356"/>
      <c r="B164" s="356"/>
      <c r="C164" s="360">
        <v>4517</v>
      </c>
      <c r="D164" s="357" t="s">
        <v>301</v>
      </c>
      <c r="E164" s="360" t="s">
        <v>107</v>
      </c>
      <c r="F164" s="378">
        <v>0.2</v>
      </c>
      <c r="G164" s="362">
        <v>2.9</v>
      </c>
      <c r="H164" s="363">
        <f t="shared" si="7"/>
        <v>0.57999999999999996</v>
      </c>
    </row>
    <row r="165" spans="1:8" ht="64.5" customHeight="1" x14ac:dyDescent="0.25">
      <c r="A165" s="356"/>
      <c r="B165" s="356"/>
      <c r="C165" s="360">
        <v>7156</v>
      </c>
      <c r="D165" s="357" t="s">
        <v>302</v>
      </c>
      <c r="E165" s="360" t="s">
        <v>184</v>
      </c>
      <c r="F165" s="378">
        <v>1.1224000000000001</v>
      </c>
      <c r="G165" s="362">
        <v>45.25</v>
      </c>
      <c r="H165" s="363">
        <f t="shared" si="7"/>
        <v>50.788600000000002</v>
      </c>
    </row>
    <row r="166" spans="1:8" ht="44.25" customHeight="1" x14ac:dyDescent="0.25">
      <c r="A166" s="356"/>
      <c r="B166" s="356"/>
      <c r="C166" s="360">
        <v>88262</v>
      </c>
      <c r="D166" s="357" t="s">
        <v>303</v>
      </c>
      <c r="E166" s="360" t="s">
        <v>109</v>
      </c>
      <c r="F166" s="378">
        <v>0.05</v>
      </c>
      <c r="G166" s="362">
        <v>24.83</v>
      </c>
      <c r="H166" s="363">
        <f t="shared" si="7"/>
        <v>1.2415</v>
      </c>
    </row>
    <row r="167" spans="1:8" ht="32.25" customHeight="1" x14ac:dyDescent="0.25">
      <c r="A167" s="356"/>
      <c r="B167" s="356"/>
      <c r="C167" s="360">
        <f>$C$13</f>
        <v>88309</v>
      </c>
      <c r="D167" s="357" t="str">
        <f>$D$13</f>
        <v>PEDREIRO COM ENCARGOS COMPLEMENTARES</v>
      </c>
      <c r="E167" s="360" t="s">
        <v>109</v>
      </c>
      <c r="F167" s="378">
        <v>0.15</v>
      </c>
      <c r="G167" s="362">
        <f>$F$13</f>
        <v>25.06</v>
      </c>
      <c r="H167" s="363">
        <f t="shared" si="7"/>
        <v>3.7589999999999995</v>
      </c>
    </row>
    <row r="168" spans="1:8" ht="25.5" customHeight="1" x14ac:dyDescent="0.25">
      <c r="A168" s="356"/>
      <c r="B168" s="356"/>
      <c r="C168" s="360">
        <f>$C$14</f>
        <v>88316</v>
      </c>
      <c r="D168" s="357" t="str">
        <f>$D$14</f>
        <v>SERVENTE COM ENCARGOS COMPLEMENTARES</v>
      </c>
      <c r="E168" s="360" t="s">
        <v>109</v>
      </c>
      <c r="F168" s="378">
        <v>0.15</v>
      </c>
      <c r="G168" s="362">
        <f>$F$14</f>
        <v>17.37</v>
      </c>
      <c r="H168" s="363">
        <f t="shared" si="7"/>
        <v>2.6055000000000001</v>
      </c>
    </row>
    <row r="169" spans="1:8" ht="47.25" x14ac:dyDescent="0.25">
      <c r="A169" s="356"/>
      <c r="B169" s="356"/>
      <c r="C169" s="360">
        <v>94964</v>
      </c>
      <c r="D169" s="357" t="s">
        <v>304</v>
      </c>
      <c r="E169" s="360" t="s">
        <v>188</v>
      </c>
      <c r="F169" s="378">
        <v>0.12130000000000001</v>
      </c>
      <c r="G169" s="362">
        <v>431.72</v>
      </c>
      <c r="H169" s="363">
        <f t="shared" si="7"/>
        <v>52.367636000000005</v>
      </c>
    </row>
    <row r="170" spans="1:8" x14ac:dyDescent="0.25">
      <c r="G170" s="366" t="s">
        <v>11</v>
      </c>
      <c r="H170" s="377">
        <f>SUM(H162:H169)</f>
        <v>115.804236</v>
      </c>
    </row>
    <row r="171" spans="1:8" x14ac:dyDescent="0.25">
      <c r="G171" s="391"/>
      <c r="H171" s="392"/>
    </row>
    <row r="173" spans="1:8" ht="40.5" customHeight="1" x14ac:dyDescent="0.25">
      <c r="A173" s="358" t="s">
        <v>143</v>
      </c>
      <c r="B173" s="358"/>
      <c r="C173" s="358" t="s">
        <v>183</v>
      </c>
      <c r="D173" s="359" t="str">
        <f>SERVIÇOS!C43</f>
        <v>ASSENTAMENTO DE GUIA (MEIO-FIO) EM TRECHO CURVO</v>
      </c>
      <c r="E173" s="358" t="s">
        <v>184</v>
      </c>
      <c r="F173" s="358" t="s">
        <v>117</v>
      </c>
      <c r="G173" s="358" t="s">
        <v>118</v>
      </c>
      <c r="H173" s="358" t="s">
        <v>119</v>
      </c>
    </row>
    <row r="174" spans="1:8" ht="45" customHeight="1" x14ac:dyDescent="0.25">
      <c r="A174" s="356"/>
      <c r="B174" s="356"/>
      <c r="C174" s="360">
        <v>370</v>
      </c>
      <c r="D174" s="357" t="s">
        <v>315</v>
      </c>
      <c r="E174" s="360" t="s">
        <v>188</v>
      </c>
      <c r="F174" s="378">
        <v>7.0000000000000001E-3</v>
      </c>
      <c r="G174" s="362">
        <v>99.95</v>
      </c>
      <c r="H174" s="363">
        <f>F174*G174</f>
        <v>0.69964999999999999</v>
      </c>
    </row>
    <row r="175" spans="1:8" ht="31.5" x14ac:dyDescent="0.25">
      <c r="A175" s="370"/>
      <c r="B175" s="370"/>
      <c r="C175" s="371">
        <v>4059</v>
      </c>
      <c r="D175" s="372" t="s">
        <v>316</v>
      </c>
      <c r="E175" s="371" t="s">
        <v>107</v>
      </c>
      <c r="F175" s="458">
        <v>1.0049999999999999</v>
      </c>
      <c r="G175" s="362">
        <v>22.14</v>
      </c>
      <c r="H175" s="363">
        <f t="shared" ref="H175:H178" si="8">F175*G175</f>
        <v>22.250699999999998</v>
      </c>
    </row>
    <row r="176" spans="1:8" x14ac:dyDescent="0.25">
      <c r="A176" s="370"/>
      <c r="B176" s="370"/>
      <c r="C176" s="371">
        <f>$C$13</f>
        <v>88309</v>
      </c>
      <c r="D176" s="372" t="str">
        <f>$D$13</f>
        <v>PEDREIRO COM ENCARGOS COMPLEMENTARES</v>
      </c>
      <c r="E176" s="371" t="s">
        <v>109</v>
      </c>
      <c r="F176" s="458">
        <v>0.3</v>
      </c>
      <c r="G176" s="362">
        <f>$F$13</f>
        <v>25.06</v>
      </c>
      <c r="H176" s="363">
        <f t="shared" si="8"/>
        <v>7.5179999999999989</v>
      </c>
    </row>
    <row r="177" spans="1:8" x14ac:dyDescent="0.25">
      <c r="A177" s="370"/>
      <c r="B177" s="370"/>
      <c r="C177" s="371">
        <f>$C$14</f>
        <v>88316</v>
      </c>
      <c r="D177" s="372" t="str">
        <f>$D$14</f>
        <v>SERVENTE COM ENCARGOS COMPLEMENTARES</v>
      </c>
      <c r="E177" s="371" t="s">
        <v>109</v>
      </c>
      <c r="F177" s="458">
        <v>0.3</v>
      </c>
      <c r="G177" s="362">
        <f>$F$14</f>
        <v>17.37</v>
      </c>
      <c r="H177" s="363">
        <f t="shared" si="8"/>
        <v>5.2110000000000003</v>
      </c>
    </row>
    <row r="178" spans="1:8" ht="31.5" x14ac:dyDescent="0.25">
      <c r="A178" s="370"/>
      <c r="B178" s="370"/>
      <c r="C178" s="371">
        <v>88629</v>
      </c>
      <c r="D178" s="372" t="s">
        <v>317</v>
      </c>
      <c r="E178" s="371" t="s">
        <v>188</v>
      </c>
      <c r="F178" s="373">
        <v>2E-3</v>
      </c>
      <c r="G178" s="362">
        <v>603.52</v>
      </c>
      <c r="H178" s="363">
        <f t="shared" si="8"/>
        <v>1.2070399999999999</v>
      </c>
    </row>
    <row r="179" spans="1:8" x14ac:dyDescent="0.25">
      <c r="G179" s="365" t="s">
        <v>11</v>
      </c>
      <c r="H179" s="375">
        <f>SUM(H174:H178)</f>
        <v>36.886389999999992</v>
      </c>
    </row>
    <row r="181" spans="1:8" x14ac:dyDescent="0.25">
      <c r="A181" s="358" t="s">
        <v>191</v>
      </c>
      <c r="B181" s="358"/>
      <c r="C181" s="358" t="s">
        <v>183</v>
      </c>
      <c r="D181" s="359" t="str">
        <f>SERVIÇOS!C44</f>
        <v>RAMPA EM CONCRETO LISO</v>
      </c>
      <c r="E181" s="358" t="s">
        <v>184</v>
      </c>
      <c r="F181" s="358" t="s">
        <v>117</v>
      </c>
      <c r="G181" s="358" t="s">
        <v>118</v>
      </c>
      <c r="H181" s="358" t="s">
        <v>119</v>
      </c>
    </row>
    <row r="182" spans="1:8" x14ac:dyDescent="0.25">
      <c r="A182" s="356"/>
      <c r="B182" s="356"/>
      <c r="C182" s="360" t="s">
        <v>200</v>
      </c>
      <c r="D182" s="357" t="s">
        <v>199</v>
      </c>
      <c r="E182" s="360" t="s">
        <v>193</v>
      </c>
      <c r="F182" s="361">
        <v>0.33</v>
      </c>
      <c r="G182" s="362">
        <v>5.5</v>
      </c>
      <c r="H182" s="363">
        <f>F182*G182</f>
        <v>1.8150000000000002</v>
      </c>
    </row>
    <row r="183" spans="1:8" x14ac:dyDescent="0.25">
      <c r="A183" s="356"/>
      <c r="B183" s="356"/>
      <c r="C183" s="360" t="s">
        <v>306</v>
      </c>
      <c r="D183" s="357" t="s">
        <v>307</v>
      </c>
      <c r="E183" s="360" t="s">
        <v>193</v>
      </c>
      <c r="F183" s="361">
        <v>4</v>
      </c>
      <c r="G183" s="362">
        <v>1.04</v>
      </c>
      <c r="H183" s="363">
        <f t="shared" ref="H183:H186" si="9">F183*G183</f>
        <v>4.16</v>
      </c>
    </row>
    <row r="184" spans="1:8" x14ac:dyDescent="0.25">
      <c r="A184" s="356"/>
      <c r="B184" s="356"/>
      <c r="C184" s="360">
        <f>$C$13</f>
        <v>88309</v>
      </c>
      <c r="D184" s="357" t="str">
        <f>$D$13</f>
        <v>PEDREIRO COM ENCARGOS COMPLEMENTARES</v>
      </c>
      <c r="E184" s="360" t="s">
        <v>109</v>
      </c>
      <c r="F184" s="361">
        <v>0.5</v>
      </c>
      <c r="G184" s="362">
        <v>0.5</v>
      </c>
      <c r="H184" s="363">
        <f t="shared" si="9"/>
        <v>0.25</v>
      </c>
    </row>
    <row r="185" spans="1:8" x14ac:dyDescent="0.25">
      <c r="A185" s="356"/>
      <c r="B185" s="356"/>
      <c r="C185" s="360">
        <f>$C$14</f>
        <v>88316</v>
      </c>
      <c r="D185" s="357" t="str">
        <f>$D$14</f>
        <v>SERVENTE COM ENCARGOS COMPLEMENTARES</v>
      </c>
      <c r="E185" s="360" t="s">
        <v>109</v>
      </c>
      <c r="F185" s="361">
        <f>F184</f>
        <v>0.5</v>
      </c>
      <c r="G185" s="362">
        <f>$F$14</f>
        <v>17.37</v>
      </c>
      <c r="H185" s="363">
        <f t="shared" si="9"/>
        <v>8.6850000000000005</v>
      </c>
    </row>
    <row r="186" spans="1:8" ht="31.5" x14ac:dyDescent="0.25">
      <c r="A186" s="356"/>
      <c r="B186" s="356"/>
      <c r="C186" s="360" t="s">
        <v>308</v>
      </c>
      <c r="D186" s="357" t="s">
        <v>309</v>
      </c>
      <c r="E186" s="360" t="s">
        <v>2</v>
      </c>
      <c r="F186" s="361">
        <v>6.56</v>
      </c>
      <c r="G186" s="362">
        <v>9.01</v>
      </c>
      <c r="H186" s="363">
        <f t="shared" si="9"/>
        <v>59.105599999999995</v>
      </c>
    </row>
    <row r="187" spans="1:8" x14ac:dyDescent="0.25">
      <c r="G187" s="366" t="s">
        <v>11</v>
      </c>
      <c r="H187" s="377">
        <f>SUM(H182:H186)</f>
        <v>74.015599999999992</v>
      </c>
    </row>
    <row r="188" spans="1:8" x14ac:dyDescent="0.25">
      <c r="G188" s="391"/>
      <c r="H188" s="392"/>
    </row>
    <row r="189" spans="1:8" x14ac:dyDescent="0.25">
      <c r="G189" s="391"/>
      <c r="H189" s="392"/>
    </row>
    <row r="190" spans="1:8" ht="26.25" x14ac:dyDescent="0.25">
      <c r="A190" s="455">
        <v>4</v>
      </c>
      <c r="B190" s="568" t="s">
        <v>195</v>
      </c>
      <c r="C190" s="569"/>
      <c r="D190" s="569"/>
      <c r="E190" s="569"/>
      <c r="F190" s="569"/>
      <c r="G190" s="569"/>
      <c r="H190" s="570"/>
    </row>
    <row r="191" spans="1:8" x14ac:dyDescent="0.25">
      <c r="G191" s="391"/>
      <c r="H191" s="392"/>
    </row>
    <row r="193" spans="1:8" ht="86.25" customHeight="1" x14ac:dyDescent="0.25">
      <c r="A193" s="358" t="s">
        <v>126</v>
      </c>
      <c r="B193" s="358"/>
      <c r="C193" s="358" t="s">
        <v>183</v>
      </c>
      <c r="D193" s="359" t="str">
        <f>SERVIÇOS!C49</f>
        <v>LOCAÇÃO DE CONSTRUÇÃO DE EDIFICAÇÃO ATÉ 200M2, INCLUSIVE EXECUÇÃO DE GABARITO DE MADEIRA</v>
      </c>
      <c r="E193" s="358" t="s">
        <v>184</v>
      </c>
      <c r="F193" s="358" t="s">
        <v>117</v>
      </c>
      <c r="G193" s="358" t="s">
        <v>118</v>
      </c>
      <c r="H193" s="358" t="s">
        <v>119</v>
      </c>
    </row>
    <row r="194" spans="1:8" ht="45" customHeight="1" x14ac:dyDescent="0.25">
      <c r="A194" s="360"/>
      <c r="B194" s="360"/>
      <c r="C194" s="360" t="s">
        <v>320</v>
      </c>
      <c r="D194" s="357" t="s">
        <v>321</v>
      </c>
      <c r="E194" s="360" t="s">
        <v>109</v>
      </c>
      <c r="F194" s="378">
        <v>0.02</v>
      </c>
      <c r="G194" s="383">
        <v>10.29</v>
      </c>
      <c r="H194" s="388">
        <f>F194*G194</f>
        <v>0.20579999999999998</v>
      </c>
    </row>
    <row r="195" spans="1:8" ht="24.75" customHeight="1" x14ac:dyDescent="0.25">
      <c r="A195" s="360"/>
      <c r="B195" s="360"/>
      <c r="C195" s="360" t="s">
        <v>322</v>
      </c>
      <c r="D195" s="357" t="s">
        <v>323</v>
      </c>
      <c r="E195" s="360" t="s">
        <v>109</v>
      </c>
      <c r="F195" s="378">
        <v>0.02</v>
      </c>
      <c r="G195" s="383">
        <v>17.16</v>
      </c>
      <c r="H195" s="388">
        <f t="shared" ref="H195:H202" si="10">F195*G195</f>
        <v>0.34320000000000001</v>
      </c>
    </row>
    <row r="196" spans="1:8" ht="48" customHeight="1" x14ac:dyDescent="0.25">
      <c r="A196" s="360"/>
      <c r="B196" s="360"/>
      <c r="C196" s="360" t="s">
        <v>277</v>
      </c>
      <c r="D196" s="357" t="s">
        <v>186</v>
      </c>
      <c r="E196" s="360" t="s">
        <v>107</v>
      </c>
      <c r="F196" s="378">
        <v>0.24</v>
      </c>
      <c r="G196" s="383">
        <v>9.25</v>
      </c>
      <c r="H196" s="388">
        <f t="shared" si="10"/>
        <v>2.2199999999999998</v>
      </c>
    </row>
    <row r="197" spans="1:8" ht="25.5" customHeight="1" x14ac:dyDescent="0.25">
      <c r="A197" s="360"/>
      <c r="B197" s="360"/>
      <c r="C197" s="360" t="s">
        <v>324</v>
      </c>
      <c r="D197" s="357" t="s">
        <v>325</v>
      </c>
      <c r="E197" s="360" t="s">
        <v>193</v>
      </c>
      <c r="F197" s="378">
        <v>0.02</v>
      </c>
      <c r="G197" s="383">
        <v>28.03</v>
      </c>
      <c r="H197" s="388">
        <f t="shared" si="10"/>
        <v>0.56059999999999999</v>
      </c>
    </row>
    <row r="198" spans="1:8" ht="24.75" customHeight="1" x14ac:dyDescent="0.25">
      <c r="A198" s="360"/>
      <c r="B198" s="360"/>
      <c r="C198" s="360" t="s">
        <v>202</v>
      </c>
      <c r="D198" s="357" t="s">
        <v>201</v>
      </c>
      <c r="E198" s="360" t="s">
        <v>109</v>
      </c>
      <c r="F198" s="378">
        <v>0.04</v>
      </c>
      <c r="G198" s="383">
        <v>6.63</v>
      </c>
      <c r="H198" s="388">
        <f t="shared" si="10"/>
        <v>0.26519999999999999</v>
      </c>
    </row>
    <row r="199" spans="1:8" ht="21.75" customHeight="1" x14ac:dyDescent="0.25">
      <c r="A199" s="356"/>
      <c r="B199" s="356"/>
      <c r="C199" s="360" t="s">
        <v>326</v>
      </c>
      <c r="D199" s="357" t="s">
        <v>327</v>
      </c>
      <c r="E199" s="360" t="s">
        <v>193</v>
      </c>
      <c r="F199" s="378">
        <v>1.2E-2</v>
      </c>
      <c r="G199" s="384">
        <v>19.12</v>
      </c>
      <c r="H199" s="388">
        <f t="shared" si="10"/>
        <v>0.22944000000000001</v>
      </c>
    </row>
    <row r="200" spans="1:8" ht="21.75" customHeight="1" x14ac:dyDescent="0.25">
      <c r="A200" s="356"/>
      <c r="B200" s="356"/>
      <c r="C200" s="360">
        <f>$C$14</f>
        <v>88316</v>
      </c>
      <c r="D200" s="357" t="str">
        <f>$D$13</f>
        <v>PEDREIRO COM ENCARGOS COMPLEMENTARES</v>
      </c>
      <c r="E200" s="360" t="s">
        <v>109</v>
      </c>
      <c r="F200" s="378">
        <v>0.04</v>
      </c>
      <c r="G200" s="384">
        <f>$F$14</f>
        <v>17.37</v>
      </c>
      <c r="H200" s="388">
        <f t="shared" si="10"/>
        <v>0.69480000000000008</v>
      </c>
    </row>
    <row r="201" spans="1:8" ht="46.5" customHeight="1" x14ac:dyDescent="0.25">
      <c r="A201" s="356"/>
      <c r="B201" s="356"/>
      <c r="C201" s="360" t="s">
        <v>328</v>
      </c>
      <c r="D201" s="357" t="s">
        <v>329</v>
      </c>
      <c r="E201" s="360" t="s">
        <v>107</v>
      </c>
      <c r="F201" s="378">
        <v>0.28000000000000003</v>
      </c>
      <c r="G201" s="384">
        <v>11.24</v>
      </c>
      <c r="H201" s="388">
        <f t="shared" si="10"/>
        <v>3.1472000000000002</v>
      </c>
    </row>
    <row r="202" spans="1:8" x14ac:dyDescent="0.25">
      <c r="A202" s="356"/>
      <c r="B202" s="356"/>
      <c r="C202" s="360" t="s">
        <v>205</v>
      </c>
      <c r="D202" s="357" t="s">
        <v>206</v>
      </c>
      <c r="E202" s="360" t="s">
        <v>109</v>
      </c>
      <c r="F202" s="378">
        <v>0.04</v>
      </c>
      <c r="G202" s="384">
        <v>2.89</v>
      </c>
      <c r="H202" s="388">
        <f t="shared" si="10"/>
        <v>0.11560000000000001</v>
      </c>
    </row>
    <row r="203" spans="1:8" x14ac:dyDescent="0.25">
      <c r="G203" s="365" t="s">
        <v>11</v>
      </c>
      <c r="H203" s="385">
        <f>SUM(H194:H202)</f>
        <v>7.7818399999999999</v>
      </c>
    </row>
    <row r="205" spans="1:8" x14ac:dyDescent="0.25">
      <c r="A205" s="358" t="s">
        <v>131</v>
      </c>
      <c r="B205" s="358"/>
      <c r="C205" s="358" t="s">
        <v>183</v>
      </c>
      <c r="D205" s="359" t="str">
        <f>SERVIÇOS!C51</f>
        <v>ESCAVAÇÃO MANUAL H=10CM</v>
      </c>
      <c r="E205" s="358" t="s">
        <v>188</v>
      </c>
      <c r="F205" s="358" t="s">
        <v>117</v>
      </c>
      <c r="G205" s="358" t="s">
        <v>118</v>
      </c>
      <c r="H205" s="358" t="s">
        <v>119</v>
      </c>
    </row>
    <row r="206" spans="1:8" x14ac:dyDescent="0.25">
      <c r="A206" s="374"/>
      <c r="B206" s="374"/>
      <c r="C206" s="360">
        <f>$C$14</f>
        <v>88316</v>
      </c>
      <c r="D206" s="357" t="str">
        <f>$D$14</f>
        <v>SERVENTE COM ENCARGOS COMPLEMENTARES</v>
      </c>
      <c r="E206" s="360" t="s">
        <v>109</v>
      </c>
      <c r="F206" s="378">
        <v>2.5</v>
      </c>
      <c r="G206" s="383">
        <f>$F$14</f>
        <v>17.37</v>
      </c>
      <c r="H206" s="381">
        <f>F206*G206</f>
        <v>43.425000000000004</v>
      </c>
    </row>
    <row r="207" spans="1:8" x14ac:dyDescent="0.25">
      <c r="G207" s="366" t="s">
        <v>11</v>
      </c>
      <c r="H207" s="382">
        <f>SUM(H206:H206)</f>
        <v>43.425000000000004</v>
      </c>
    </row>
    <row r="210" spans="1:8" ht="68.25" customHeight="1" x14ac:dyDescent="0.25">
      <c r="A210" s="358" t="s">
        <v>132</v>
      </c>
      <c r="B210" s="358"/>
      <c r="C210" s="358" t="s">
        <v>183</v>
      </c>
      <c r="D210" s="359" t="str">
        <f>SERVIÇOS!C52</f>
        <v>COMPACTAÇÃO MANUAL COM COMPACTADOR A PERCUSSÃO
SAPINHO, SEM CONTROLE DO GRAU DE COMPACTAÇÃO</v>
      </c>
      <c r="E210" s="358" t="s">
        <v>184</v>
      </c>
      <c r="F210" s="358" t="s">
        <v>117</v>
      </c>
      <c r="G210" s="358" t="s">
        <v>118</v>
      </c>
      <c r="H210" s="358" t="s">
        <v>119</v>
      </c>
    </row>
    <row r="211" spans="1:8" ht="40.5" customHeight="1" x14ac:dyDescent="0.25">
      <c r="A211" s="374"/>
      <c r="B211" s="374"/>
      <c r="C211" s="360" t="s">
        <v>295</v>
      </c>
      <c r="D211" s="357" t="s">
        <v>294</v>
      </c>
      <c r="E211" s="360" t="s">
        <v>109</v>
      </c>
      <c r="F211" s="378">
        <v>0.1</v>
      </c>
      <c r="G211" s="360">
        <v>69.19</v>
      </c>
      <c r="H211" s="388">
        <f>F211*G211</f>
        <v>6.9190000000000005</v>
      </c>
    </row>
    <row r="212" spans="1:8" ht="38.25" customHeight="1" x14ac:dyDescent="0.25">
      <c r="A212" s="374"/>
      <c r="B212" s="374"/>
      <c r="C212" s="360" t="s">
        <v>296</v>
      </c>
      <c r="D212" s="357" t="s">
        <v>297</v>
      </c>
      <c r="E212" s="360" t="s">
        <v>109</v>
      </c>
      <c r="F212" s="378">
        <v>0.1</v>
      </c>
      <c r="G212" s="360">
        <v>2.74</v>
      </c>
      <c r="H212" s="388">
        <f t="shared" ref="H212:H213" si="11">F212*G212</f>
        <v>0.27400000000000002</v>
      </c>
    </row>
    <row r="213" spans="1:8" ht="25.5" customHeight="1" x14ac:dyDescent="0.25">
      <c r="A213" s="374"/>
      <c r="B213" s="374"/>
      <c r="C213" s="360">
        <f>$C$14</f>
        <v>88316</v>
      </c>
      <c r="D213" s="357" t="str">
        <f>$D$14</f>
        <v>SERVENTE COM ENCARGOS COMPLEMENTARES</v>
      </c>
      <c r="E213" s="360" t="s">
        <v>109</v>
      </c>
      <c r="F213" s="378">
        <v>0.1</v>
      </c>
      <c r="G213" s="389">
        <f>$F$14</f>
        <v>17.37</v>
      </c>
      <c r="H213" s="388">
        <f t="shared" si="11"/>
        <v>1.7370000000000001</v>
      </c>
    </row>
    <row r="214" spans="1:8" x14ac:dyDescent="0.25">
      <c r="G214" s="366" t="s">
        <v>11</v>
      </c>
      <c r="H214" s="377">
        <f>SUM(H211:H213)</f>
        <v>8.93</v>
      </c>
    </row>
    <row r="217" spans="1:8" ht="54.75" customHeight="1" x14ac:dyDescent="0.25">
      <c r="A217" s="358" t="s">
        <v>133</v>
      </c>
      <c r="B217" s="358"/>
      <c r="C217" s="358" t="s">
        <v>183</v>
      </c>
      <c r="D217" s="359" t="str">
        <f>SERVIÇOS!C53</f>
        <v xml:space="preserve">APLICAÇÃO DE LONA PLÁSTICA PARA EXECUÇÃO DE PAVIMENTOS
DE CONCRETO </v>
      </c>
      <c r="E217" s="358" t="s">
        <v>184</v>
      </c>
      <c r="F217" s="358" t="s">
        <v>117</v>
      </c>
      <c r="G217" s="358" t="s">
        <v>118</v>
      </c>
      <c r="H217" s="358" t="s">
        <v>119</v>
      </c>
    </row>
    <row r="218" spans="1:8" ht="28.5" customHeight="1" x14ac:dyDescent="0.25">
      <c r="A218" s="374"/>
      <c r="B218" s="374"/>
      <c r="C218" s="360" t="s">
        <v>334</v>
      </c>
      <c r="D218" s="357" t="s">
        <v>335</v>
      </c>
      <c r="E218" s="360" t="s">
        <v>184</v>
      </c>
      <c r="F218" s="378">
        <v>1</v>
      </c>
      <c r="G218" s="473">
        <v>2.16</v>
      </c>
      <c r="H218" s="381">
        <f>F218*G218</f>
        <v>2.16</v>
      </c>
    </row>
    <row r="219" spans="1:8" x14ac:dyDescent="0.25">
      <c r="A219" s="374"/>
      <c r="B219" s="374"/>
      <c r="C219" s="360">
        <f>$C$14</f>
        <v>88316</v>
      </c>
      <c r="D219" s="357" t="str">
        <f>D14</f>
        <v>SERVENTE COM ENCARGOS COMPLEMENTARES</v>
      </c>
      <c r="E219" s="360" t="s">
        <v>109</v>
      </c>
      <c r="F219" s="361">
        <v>1E-3</v>
      </c>
      <c r="G219" s="474">
        <f>$F$14</f>
        <v>17.37</v>
      </c>
      <c r="H219" s="381">
        <f>F219*G219</f>
        <v>1.737E-2</v>
      </c>
    </row>
    <row r="220" spans="1:8" x14ac:dyDescent="0.25">
      <c r="G220" s="366" t="s">
        <v>11</v>
      </c>
      <c r="H220" s="377">
        <f>SUM(H218:H219)</f>
        <v>2.1773700000000002</v>
      </c>
    </row>
    <row r="221" spans="1:8" x14ac:dyDescent="0.25">
      <c r="G221" s="366"/>
      <c r="H221" s="377"/>
    </row>
    <row r="222" spans="1:8" ht="47.25" customHeight="1" x14ac:dyDescent="0.25">
      <c r="A222" s="358" t="s">
        <v>144</v>
      </c>
      <c r="B222" s="358"/>
      <c r="C222" s="358" t="s">
        <v>183</v>
      </c>
      <c r="D222" s="359" t="str">
        <f>SERVIÇOS!C54</f>
        <v>LASTRO DE CONCRETO MAGRO, APLICADO EM PISOS OU RADIERS, ESPESSURA DE 5CM</v>
      </c>
      <c r="E222" s="358" t="s">
        <v>184</v>
      </c>
      <c r="F222" s="358" t="s">
        <v>117</v>
      </c>
      <c r="G222" s="358" t="s">
        <v>118</v>
      </c>
      <c r="H222" s="358" t="s">
        <v>119</v>
      </c>
    </row>
    <row r="223" spans="1:8" ht="47.25" x14ac:dyDescent="0.25">
      <c r="A223" s="374"/>
      <c r="B223" s="374"/>
      <c r="C223" s="360" t="s">
        <v>338</v>
      </c>
      <c r="D223" s="357" t="s">
        <v>337</v>
      </c>
      <c r="E223" s="360" t="s">
        <v>188</v>
      </c>
      <c r="F223" s="475">
        <v>5.6500000000000002E-2</v>
      </c>
      <c r="G223" s="360">
        <v>332.63</v>
      </c>
      <c r="H223" s="376">
        <f>F223*G223</f>
        <v>18.793595</v>
      </c>
    </row>
    <row r="224" spans="1:8" x14ac:dyDescent="0.25">
      <c r="A224" s="374"/>
      <c r="B224" s="374"/>
      <c r="C224" s="360">
        <f>$C$13</f>
        <v>88309</v>
      </c>
      <c r="D224" s="357" t="str">
        <f>$D$13</f>
        <v>PEDREIRO COM ENCARGOS COMPLEMENTARES</v>
      </c>
      <c r="E224" s="360" t="s">
        <v>109</v>
      </c>
      <c r="F224" s="379">
        <v>0.1</v>
      </c>
      <c r="G224" s="389">
        <f>$F$13</f>
        <v>25.06</v>
      </c>
      <c r="H224" s="376">
        <f t="shared" ref="H224:H225" si="12">F224*G224</f>
        <v>2.5060000000000002</v>
      </c>
    </row>
    <row r="225" spans="1:8" x14ac:dyDescent="0.25">
      <c r="A225" s="374"/>
      <c r="B225" s="374"/>
      <c r="C225" s="360">
        <f>$C$14</f>
        <v>88316</v>
      </c>
      <c r="D225" s="357" t="str">
        <f>$D$14</f>
        <v>SERVENTE COM ENCARGOS COMPLEMENTARES</v>
      </c>
      <c r="E225" s="360" t="s">
        <v>109</v>
      </c>
      <c r="F225" s="379">
        <f>F224</f>
        <v>0.1</v>
      </c>
      <c r="G225" s="389">
        <f>$F$14</f>
        <v>17.37</v>
      </c>
      <c r="H225" s="376">
        <f t="shared" si="12"/>
        <v>1.7370000000000001</v>
      </c>
    </row>
    <row r="226" spans="1:8" x14ac:dyDescent="0.25">
      <c r="A226" s="386"/>
      <c r="B226" s="386"/>
      <c r="C226" s="371"/>
      <c r="D226" s="372"/>
      <c r="E226" s="371"/>
      <c r="F226" s="387"/>
      <c r="G226" s="360"/>
      <c r="H226" s="376"/>
    </row>
    <row r="227" spans="1:8" x14ac:dyDescent="0.25">
      <c r="G227" s="366" t="s">
        <v>11</v>
      </c>
      <c r="H227" s="377">
        <f>SUM(H223:H226)</f>
        <v>23.036594999999998</v>
      </c>
    </row>
    <row r="230" spans="1:8" ht="87" customHeight="1" x14ac:dyDescent="0.25">
      <c r="A230" s="358" t="s">
        <v>146</v>
      </c>
      <c r="B230" s="358"/>
      <c r="C230" s="358" t="s">
        <v>183</v>
      </c>
      <c r="D230" s="359" t="str">
        <f>SERVIÇOS!C57</f>
        <v>ARMAÇÃO DE LAJE DE UMA ESTRUTURA CONVENCIONAL DE CONCRETO ARMADO EM UM A EDIFICAÇÃO TÉRREA OU SOBRADO UTILIZANDO AÇO CA-50 DE 10,0 MM</v>
      </c>
      <c r="E230" s="358" t="s">
        <v>184</v>
      </c>
      <c r="F230" s="358" t="s">
        <v>117</v>
      </c>
      <c r="G230" s="358" t="s">
        <v>118</v>
      </c>
      <c r="H230" s="358" t="s">
        <v>119</v>
      </c>
    </row>
    <row r="231" spans="1:8" ht="49.5" customHeight="1" x14ac:dyDescent="0.25">
      <c r="A231" s="374"/>
      <c r="B231" s="374"/>
      <c r="C231" s="360" t="s">
        <v>342</v>
      </c>
      <c r="D231" s="357" t="s">
        <v>343</v>
      </c>
      <c r="E231" s="360" t="s">
        <v>2</v>
      </c>
      <c r="F231" s="475">
        <v>0.35699999999999998</v>
      </c>
      <c r="G231" s="360">
        <v>0.18</v>
      </c>
      <c r="H231" s="376">
        <f>F231*G231</f>
        <v>6.4259999999999998E-2</v>
      </c>
    </row>
    <row r="232" spans="1:8" ht="44.25" customHeight="1" x14ac:dyDescent="0.25">
      <c r="A232" s="374"/>
      <c r="B232" s="374"/>
      <c r="C232" s="360" t="s">
        <v>399</v>
      </c>
      <c r="D232" s="357" t="s">
        <v>344</v>
      </c>
      <c r="E232" s="360" t="s">
        <v>193</v>
      </c>
      <c r="F232" s="475">
        <v>2.5000000000000001E-2</v>
      </c>
      <c r="G232" s="360">
        <v>19.649999999999999</v>
      </c>
      <c r="H232" s="376">
        <f t="shared" ref="H232:H235" si="13">F232*G232</f>
        <v>0.49124999999999996</v>
      </c>
    </row>
    <row r="233" spans="1:8" ht="27" customHeight="1" x14ac:dyDescent="0.25">
      <c r="A233" s="374"/>
      <c r="B233" s="374"/>
      <c r="C233" s="360" t="s">
        <v>345</v>
      </c>
      <c r="D233" s="357" t="s">
        <v>346</v>
      </c>
      <c r="E233" s="360" t="s">
        <v>109</v>
      </c>
      <c r="F233" s="475">
        <v>1.0200000000000001E-2</v>
      </c>
      <c r="G233" s="360">
        <v>14.53</v>
      </c>
      <c r="H233" s="376">
        <f t="shared" si="13"/>
        <v>0.148206</v>
      </c>
    </row>
    <row r="234" spans="1:8" ht="27" customHeight="1" x14ac:dyDescent="0.25">
      <c r="A234" s="374"/>
      <c r="B234" s="374"/>
      <c r="C234" s="360" t="s">
        <v>347</v>
      </c>
      <c r="D234" s="357" t="s">
        <v>348</v>
      </c>
      <c r="E234" s="360" t="s">
        <v>109</v>
      </c>
      <c r="F234" s="379">
        <v>5.2900000000000003E-2</v>
      </c>
      <c r="G234" s="360">
        <v>18.809999999999999</v>
      </c>
      <c r="H234" s="376">
        <f t="shared" si="13"/>
        <v>0.99504899999999996</v>
      </c>
    </row>
    <row r="235" spans="1:8" ht="42.75" customHeight="1" x14ac:dyDescent="0.25">
      <c r="A235" s="374"/>
      <c r="B235" s="374"/>
      <c r="C235" s="360" t="s">
        <v>349</v>
      </c>
      <c r="D235" s="357" t="s">
        <v>350</v>
      </c>
      <c r="E235" s="360" t="s">
        <v>193</v>
      </c>
      <c r="F235" s="379">
        <v>1</v>
      </c>
      <c r="G235" s="360">
        <v>12.87</v>
      </c>
      <c r="H235" s="376">
        <f t="shared" si="13"/>
        <v>12.87</v>
      </c>
    </row>
    <row r="236" spans="1:8" x14ac:dyDescent="0.25">
      <c r="G236" s="366" t="s">
        <v>11</v>
      </c>
      <c r="H236" s="377">
        <f>SUM(H231:H235)</f>
        <v>14.568764999999999</v>
      </c>
    </row>
    <row r="238" spans="1:8" ht="78.75" customHeight="1" x14ac:dyDescent="0.25">
      <c r="A238" s="358" t="s">
        <v>147</v>
      </c>
      <c r="B238" s="358"/>
      <c r="C238" s="358" t="s">
        <v>183</v>
      </c>
      <c r="D238" s="359" t="str">
        <f>SERVIÇOS!C58</f>
        <v>ARMAÇÃO DE LAJE DE UMA ESTRUTURA CONVENCIONAL DE CONCRETO ARMADO EM UM A EDIFICAÇÃO TÉRREA OU SOBRADO UTILIZANDO AÇO CA-50 DE 12,5 MM</v>
      </c>
      <c r="E238" s="358" t="s">
        <v>184</v>
      </c>
      <c r="F238" s="358" t="s">
        <v>117</v>
      </c>
      <c r="G238" s="358" t="s">
        <v>118</v>
      </c>
      <c r="H238" s="358" t="s">
        <v>119</v>
      </c>
    </row>
    <row r="239" spans="1:8" ht="61.5" customHeight="1" x14ac:dyDescent="0.25">
      <c r="A239" s="374"/>
      <c r="B239" s="374"/>
      <c r="C239" s="360" t="s">
        <v>342</v>
      </c>
      <c r="D239" s="357" t="s">
        <v>352</v>
      </c>
      <c r="E239" s="360" t="s">
        <v>2</v>
      </c>
      <c r="F239" s="475">
        <v>0.14699999999999999</v>
      </c>
      <c r="G239" s="360">
        <v>0.18</v>
      </c>
      <c r="H239" s="388">
        <f>F239*G239</f>
        <v>2.6459999999999997E-2</v>
      </c>
    </row>
    <row r="240" spans="1:8" ht="45" customHeight="1" x14ac:dyDescent="0.25">
      <c r="A240" s="374"/>
      <c r="B240" s="374"/>
      <c r="C240" s="360" t="s">
        <v>399</v>
      </c>
      <c r="D240" s="357" t="s">
        <v>344</v>
      </c>
      <c r="E240" s="360" t="s">
        <v>193</v>
      </c>
      <c r="F240" s="475">
        <v>2.5000000000000001E-2</v>
      </c>
      <c r="G240" s="360">
        <v>16.649999999999999</v>
      </c>
      <c r="H240" s="388">
        <f t="shared" ref="H240:H243" si="14">F240*G240</f>
        <v>0.41625000000000001</v>
      </c>
    </row>
    <row r="241" spans="1:8 16380:16380" x14ac:dyDescent="0.25">
      <c r="A241" s="374"/>
      <c r="B241" s="374"/>
      <c r="C241" s="360" t="s">
        <v>345</v>
      </c>
      <c r="D241" s="357" t="s">
        <v>346</v>
      </c>
      <c r="E241" s="360" t="s">
        <v>109</v>
      </c>
      <c r="F241" s="475">
        <v>7.3000000000000001E-3</v>
      </c>
      <c r="G241" s="360">
        <v>14.53</v>
      </c>
      <c r="H241" s="388">
        <f t="shared" si="14"/>
        <v>0.106069</v>
      </c>
    </row>
    <row r="242" spans="1:8 16380:16380" x14ac:dyDescent="0.25">
      <c r="A242" s="374"/>
      <c r="B242" s="374"/>
      <c r="C242" s="360" t="s">
        <v>347</v>
      </c>
      <c r="D242" s="357" t="s">
        <v>348</v>
      </c>
      <c r="E242" s="360" t="s">
        <v>109</v>
      </c>
      <c r="F242" s="475">
        <v>4.4600000000000001E-2</v>
      </c>
      <c r="G242" s="360">
        <v>18.809999999999999</v>
      </c>
      <c r="H242" s="388">
        <f t="shared" si="14"/>
        <v>0.83892599999999995</v>
      </c>
    </row>
    <row r="243" spans="1:8 16380:16380" ht="31.5" x14ac:dyDescent="0.25">
      <c r="A243" s="374"/>
      <c r="B243" s="374"/>
      <c r="C243" s="360" t="s">
        <v>353</v>
      </c>
      <c r="D243" s="357" t="s">
        <v>354</v>
      </c>
      <c r="E243" s="360" t="s">
        <v>193</v>
      </c>
      <c r="F243" s="475">
        <v>1</v>
      </c>
      <c r="G243" s="360">
        <v>11.11</v>
      </c>
      <c r="H243" s="388">
        <f t="shared" si="14"/>
        <v>11.11</v>
      </c>
    </row>
    <row r="244" spans="1:8 16380:16380" x14ac:dyDescent="0.25">
      <c r="G244" s="366" t="s">
        <v>11</v>
      </c>
      <c r="H244" s="377">
        <f>SUM(H239:H243)</f>
        <v>12.497705</v>
      </c>
    </row>
    <row r="246" spans="1:8 16380:16380" ht="57" customHeight="1" x14ac:dyDescent="0.25">
      <c r="A246" s="358" t="s">
        <v>148</v>
      </c>
      <c r="B246" s="358"/>
      <c r="C246" s="358" t="s">
        <v>183</v>
      </c>
      <c r="D246" s="359" t="str">
        <f>SERVIÇOS!C59</f>
        <v>FORMA PLANA PARA FUNDAÇÕES, EM COMPENSADO RESINADO
12MM, 01 USO</v>
      </c>
      <c r="E246" s="358" t="s">
        <v>184</v>
      </c>
      <c r="F246" s="358" t="s">
        <v>117</v>
      </c>
      <c r="G246" s="358" t="s">
        <v>118</v>
      </c>
      <c r="H246" s="358" t="s">
        <v>119</v>
      </c>
    </row>
    <row r="247" spans="1:8 16380:16380" ht="50.25" customHeight="1" x14ac:dyDescent="0.25">
      <c r="A247" s="374"/>
      <c r="B247" s="374"/>
      <c r="C247" s="360" t="s">
        <v>356</v>
      </c>
      <c r="D247" s="357" t="s">
        <v>357</v>
      </c>
      <c r="E247" s="356" t="s">
        <v>358</v>
      </c>
      <c r="F247" s="356">
        <v>1.1000000000000001</v>
      </c>
      <c r="G247" s="356">
        <v>45.24</v>
      </c>
      <c r="H247" s="356">
        <f>F247*G247</f>
        <v>49.764000000000003</v>
      </c>
    </row>
    <row r="248" spans="1:8 16380:16380" ht="31.5" x14ac:dyDescent="0.25">
      <c r="A248" s="374"/>
      <c r="B248" s="374"/>
      <c r="C248" s="360" t="s">
        <v>277</v>
      </c>
      <c r="D248" s="357" t="s">
        <v>186</v>
      </c>
      <c r="E248" s="356" t="s">
        <v>187</v>
      </c>
      <c r="F248" s="356">
        <v>1</v>
      </c>
      <c r="G248" s="356">
        <v>9.25</v>
      </c>
      <c r="H248" s="356">
        <f t="shared" ref="H248:H255" si="15">F248*G248</f>
        <v>9.25</v>
      </c>
    </row>
    <row r="249" spans="1:8 16380:16380" x14ac:dyDescent="0.25">
      <c r="A249" s="374"/>
      <c r="B249" s="374"/>
      <c r="C249" s="360" t="s">
        <v>202</v>
      </c>
      <c r="D249" s="357" t="s">
        <v>201</v>
      </c>
      <c r="E249" s="356" t="s">
        <v>359</v>
      </c>
      <c r="F249" s="356">
        <v>1.7</v>
      </c>
      <c r="G249" s="356">
        <v>6.63</v>
      </c>
      <c r="H249" s="356">
        <f t="shared" si="15"/>
        <v>11.270999999999999</v>
      </c>
    </row>
    <row r="250" spans="1:8 16380:16380" ht="31.5" x14ac:dyDescent="0.25">
      <c r="A250" s="374"/>
      <c r="B250" s="374"/>
      <c r="C250" s="360" t="s">
        <v>360</v>
      </c>
      <c r="D250" s="357" t="s">
        <v>361</v>
      </c>
      <c r="E250" s="356" t="s">
        <v>362</v>
      </c>
      <c r="F250" s="356">
        <v>1.4999999999999999E-2</v>
      </c>
      <c r="G250" s="356">
        <v>5.48</v>
      </c>
      <c r="H250" s="356">
        <f t="shared" si="15"/>
        <v>8.2200000000000009E-2</v>
      </c>
    </row>
    <row r="251" spans="1:8 16380:16380" ht="31.5" x14ac:dyDescent="0.25">
      <c r="A251" s="374"/>
      <c r="B251" s="374"/>
      <c r="C251" s="360" t="s">
        <v>363</v>
      </c>
      <c r="D251" s="357" t="s">
        <v>364</v>
      </c>
      <c r="E251" s="356" t="s">
        <v>187</v>
      </c>
      <c r="F251" s="356">
        <v>4</v>
      </c>
      <c r="G251" s="356">
        <v>5.05</v>
      </c>
      <c r="H251" s="356">
        <f t="shared" si="15"/>
        <v>20.2</v>
      </c>
    </row>
    <row r="252" spans="1:8 16380:16380" x14ac:dyDescent="0.25">
      <c r="A252" s="374"/>
      <c r="B252" s="374"/>
      <c r="C252" s="360" t="s">
        <v>326</v>
      </c>
      <c r="D252" s="357" t="s">
        <v>327</v>
      </c>
      <c r="E252" s="356" t="s">
        <v>241</v>
      </c>
      <c r="F252" s="356">
        <v>0.4</v>
      </c>
      <c r="G252" s="356">
        <v>19.12</v>
      </c>
      <c r="H252" s="356">
        <f t="shared" si="15"/>
        <v>7.6480000000000006</v>
      </c>
    </row>
    <row r="253" spans="1:8 16380:16380" ht="31.5" x14ac:dyDescent="0.25">
      <c r="A253" s="374"/>
      <c r="B253" s="374"/>
      <c r="C253" s="360" t="s">
        <v>399</v>
      </c>
      <c r="D253" s="357" t="s">
        <v>365</v>
      </c>
      <c r="E253" s="356" t="s">
        <v>241</v>
      </c>
      <c r="F253" s="356">
        <v>0.15</v>
      </c>
      <c r="G253" s="356">
        <v>16.649999999999999</v>
      </c>
      <c r="H253" s="356">
        <f t="shared" si="15"/>
        <v>2.4974999999999996</v>
      </c>
    </row>
    <row r="254" spans="1:8 16380:16380" x14ac:dyDescent="0.25">
      <c r="A254" s="374"/>
      <c r="B254" s="374"/>
      <c r="C254" s="360" t="s">
        <v>205</v>
      </c>
      <c r="D254" s="357" t="s">
        <v>206</v>
      </c>
      <c r="E254" s="356" t="s">
        <v>109</v>
      </c>
      <c r="F254" s="356">
        <v>1.7</v>
      </c>
      <c r="G254" s="356">
        <v>2.89</v>
      </c>
      <c r="H254" s="356">
        <f t="shared" si="15"/>
        <v>4.9130000000000003</v>
      </c>
    </row>
    <row r="255" spans="1:8 16380:16380" x14ac:dyDescent="0.25">
      <c r="A255" s="374"/>
      <c r="B255" s="374"/>
      <c r="C255" s="360">
        <f>$C$14</f>
        <v>88316</v>
      </c>
      <c r="D255" s="357" t="str">
        <f>D14</f>
        <v>SERVENTE COM ENCARGOS COMPLEMENTARES</v>
      </c>
      <c r="E255" s="356" t="s">
        <v>109</v>
      </c>
      <c r="F255" s="356">
        <v>1</v>
      </c>
      <c r="G255" s="476">
        <f>$F$14</f>
        <v>17.37</v>
      </c>
      <c r="H255" s="356">
        <f t="shared" si="15"/>
        <v>17.37</v>
      </c>
    </row>
    <row r="256" spans="1:8 16380:16380" x14ac:dyDescent="0.25">
      <c r="F256" s="370"/>
      <c r="G256" s="365" t="s">
        <v>11</v>
      </c>
      <c r="H256" s="477">
        <f>SUM(H247:H255)</f>
        <v>122.9957</v>
      </c>
      <c r="XEZ256" s="354">
        <f>SUM(A256:XEY256)</f>
        <v>122.9957</v>
      </c>
    </row>
    <row r="257" spans="1:8" x14ac:dyDescent="0.25">
      <c r="F257" s="370"/>
      <c r="G257" s="391"/>
      <c r="H257" s="392"/>
    </row>
    <row r="258" spans="1:8" x14ac:dyDescent="0.25">
      <c r="F258" s="370"/>
      <c r="G258" s="391"/>
      <c r="H258" s="392"/>
    </row>
    <row r="259" spans="1:8" x14ac:dyDescent="0.25">
      <c r="F259" s="370"/>
    </row>
    <row r="260" spans="1:8" ht="81.75" customHeight="1" x14ac:dyDescent="0.25">
      <c r="A260" s="358" t="s">
        <v>149</v>
      </c>
      <c r="B260" s="358"/>
      <c r="C260" s="358" t="s">
        <v>183</v>
      </c>
      <c r="D260" s="359" t="str">
        <f>SERVIÇOS!C60</f>
        <v>CONCRETO USINADO BOMBEAVEL, CLASSE DE RESISTENCIA C25, COM BRITA 0 E 1, SLUMP =100 +/- 20 MM, EXCLUI SERVICO DE BOMBEAMENTO (NBR 8953)</v>
      </c>
      <c r="E260" s="358" t="s">
        <v>188</v>
      </c>
      <c r="F260" s="356" t="s">
        <v>117</v>
      </c>
      <c r="G260" s="358" t="s">
        <v>118</v>
      </c>
      <c r="H260" s="358" t="s">
        <v>119</v>
      </c>
    </row>
    <row r="261" spans="1:8" ht="40.5" customHeight="1" x14ac:dyDescent="0.25">
      <c r="A261" s="374"/>
      <c r="B261" s="374"/>
      <c r="C261" s="360">
        <f>$C$13</f>
        <v>88309</v>
      </c>
      <c r="D261" s="357" t="str">
        <f>$D$13</f>
        <v>PEDREIRO COM ENCARGOS COMPLEMENTARES</v>
      </c>
      <c r="E261" s="360" t="s">
        <v>109</v>
      </c>
      <c r="F261" s="356">
        <v>0.3</v>
      </c>
      <c r="G261" s="360">
        <f>F13</f>
        <v>25.06</v>
      </c>
      <c r="H261" s="381">
        <f>F261*G261</f>
        <v>7.5179999999999989</v>
      </c>
    </row>
    <row r="262" spans="1:8" ht="23.25" customHeight="1" x14ac:dyDescent="0.25">
      <c r="A262" s="374"/>
      <c r="B262" s="374"/>
      <c r="C262" s="360">
        <f>$C$14</f>
        <v>88316</v>
      </c>
      <c r="D262" s="357" t="str">
        <f>$D$14</f>
        <v>SERVENTE COM ENCARGOS COMPLEMENTARES</v>
      </c>
      <c r="E262" s="360" t="s">
        <v>109</v>
      </c>
      <c r="F262" s="356">
        <f>F261</f>
        <v>0.3</v>
      </c>
      <c r="G262" s="360">
        <f>$F$14</f>
        <v>17.37</v>
      </c>
      <c r="H262" s="381">
        <f t="shared" ref="H262:H268" si="16">F262*G262</f>
        <v>5.2110000000000003</v>
      </c>
    </row>
    <row r="263" spans="1:8" ht="61.5" customHeight="1" x14ac:dyDescent="0.25">
      <c r="A263" s="374"/>
      <c r="B263" s="374"/>
      <c r="C263" s="360">
        <v>90586</v>
      </c>
      <c r="D263" s="357" t="s">
        <v>588</v>
      </c>
      <c r="E263" s="360" t="s">
        <v>371</v>
      </c>
      <c r="F263" s="356">
        <v>0.6</v>
      </c>
      <c r="G263" s="360">
        <v>1.78</v>
      </c>
      <c r="H263" s="381">
        <f t="shared" si="16"/>
        <v>1.0680000000000001</v>
      </c>
    </row>
    <row r="264" spans="1:8" ht="64.5" customHeight="1" x14ac:dyDescent="0.25">
      <c r="A264" s="374"/>
      <c r="B264" s="374"/>
      <c r="C264" s="360">
        <v>90587</v>
      </c>
      <c r="D264" s="357" t="s">
        <v>587</v>
      </c>
      <c r="E264" s="360" t="s">
        <v>374</v>
      </c>
      <c r="F264" s="356">
        <v>1</v>
      </c>
      <c r="G264" s="360">
        <v>0.39</v>
      </c>
      <c r="H264" s="381">
        <f t="shared" si="16"/>
        <v>0.39</v>
      </c>
    </row>
    <row r="265" spans="1:8" ht="33" customHeight="1" x14ac:dyDescent="0.25">
      <c r="A265" s="374"/>
      <c r="B265" s="374"/>
      <c r="C265" s="360" t="s">
        <v>589</v>
      </c>
      <c r="D265" s="357" t="s">
        <v>590</v>
      </c>
      <c r="E265" s="360" t="s">
        <v>188</v>
      </c>
      <c r="F265" s="356">
        <v>1</v>
      </c>
      <c r="G265" s="360">
        <v>330</v>
      </c>
      <c r="H265" s="381">
        <f t="shared" si="16"/>
        <v>330</v>
      </c>
    </row>
    <row r="266" spans="1:8" x14ac:dyDescent="0.25">
      <c r="A266" s="374"/>
      <c r="B266" s="374"/>
      <c r="C266" s="360"/>
      <c r="D266" s="357"/>
      <c r="E266" s="360"/>
      <c r="F266" s="356"/>
      <c r="G266" s="360"/>
      <c r="H266" s="381">
        <f t="shared" si="16"/>
        <v>0</v>
      </c>
    </row>
    <row r="267" spans="1:8" ht="41.25" customHeight="1" x14ac:dyDescent="0.25">
      <c r="A267" s="374"/>
      <c r="B267" s="374"/>
      <c r="C267" s="360"/>
      <c r="D267" s="357"/>
      <c r="E267" s="360"/>
      <c r="F267" s="356"/>
      <c r="G267" s="360"/>
      <c r="H267" s="381">
        <f t="shared" si="16"/>
        <v>0</v>
      </c>
    </row>
    <row r="268" spans="1:8" ht="24.75" customHeight="1" x14ac:dyDescent="0.25">
      <c r="A268" s="374"/>
      <c r="B268" s="374"/>
      <c r="C268" s="360"/>
      <c r="D268" s="357"/>
      <c r="E268" s="360"/>
      <c r="F268" s="356"/>
      <c r="G268" s="360"/>
      <c r="H268" s="381">
        <f t="shared" si="16"/>
        <v>0</v>
      </c>
    </row>
    <row r="269" spans="1:8" x14ac:dyDescent="0.25">
      <c r="G269" s="366" t="s">
        <v>11</v>
      </c>
      <c r="H269" s="377">
        <f>SUM(H261:H268)</f>
        <v>344.18700000000001</v>
      </c>
    </row>
    <row r="272" spans="1:8" ht="77.25" customHeight="1" x14ac:dyDescent="0.25">
      <c r="A272" s="358">
        <v>4.1109999999999998</v>
      </c>
      <c r="B272" s="358"/>
      <c r="C272" s="358" t="s">
        <v>183</v>
      </c>
      <c r="D272" s="359" t="str">
        <f>SERVIÇOS!C61</f>
        <v>LANÇAMENTO COM USO DE BALDES, ADENSAMENTO E
ACABAMENTO DE CONCRETO EM ESTRUTURAS. AF_12/2015</v>
      </c>
      <c r="E272" s="358" t="s">
        <v>184</v>
      </c>
      <c r="F272" s="358" t="s">
        <v>117</v>
      </c>
      <c r="G272" s="358" t="s">
        <v>118</v>
      </c>
      <c r="H272" s="358" t="s">
        <v>119</v>
      </c>
    </row>
    <row r="273" spans="1:8" x14ac:dyDescent="0.25">
      <c r="A273" s="374"/>
      <c r="B273" s="374"/>
      <c r="C273" s="360" t="s">
        <v>367</v>
      </c>
      <c r="D273" s="357" t="s">
        <v>368</v>
      </c>
      <c r="E273" s="360" t="s">
        <v>109</v>
      </c>
      <c r="F273" s="379">
        <v>1.8460000000000001</v>
      </c>
      <c r="G273" s="360">
        <v>18.71</v>
      </c>
      <c r="H273" s="388">
        <f>F273*G273</f>
        <v>34.53866</v>
      </c>
    </row>
    <row r="274" spans="1:8" x14ac:dyDescent="0.25">
      <c r="A274" s="374"/>
      <c r="B274" s="374"/>
      <c r="C274" s="360">
        <f>$C$13</f>
        <v>88309</v>
      </c>
      <c r="D274" s="357" t="str">
        <f>$D$13</f>
        <v>PEDREIRO COM ENCARGOS COMPLEMENTARES</v>
      </c>
      <c r="E274" s="360" t="s">
        <v>109</v>
      </c>
      <c r="F274" s="379">
        <v>1</v>
      </c>
      <c r="G274" s="360">
        <f>$F$13</f>
        <v>25.06</v>
      </c>
      <c r="H274" s="388">
        <f t="shared" ref="H274:H277" si="17">F274*G274</f>
        <v>25.06</v>
      </c>
    </row>
    <row r="275" spans="1:8" x14ac:dyDescent="0.25">
      <c r="A275" s="374"/>
      <c r="B275" s="374"/>
      <c r="C275" s="360">
        <f>$C$14</f>
        <v>88316</v>
      </c>
      <c r="D275" s="357" t="str">
        <f>$D$14</f>
        <v>SERVENTE COM ENCARGOS COMPLEMENTARES</v>
      </c>
      <c r="E275" s="360" t="s">
        <v>109</v>
      </c>
      <c r="F275" s="379">
        <v>1</v>
      </c>
      <c r="G275" s="389">
        <f>$F$14</f>
        <v>17.37</v>
      </c>
      <c r="H275" s="388">
        <f t="shared" si="17"/>
        <v>17.37</v>
      </c>
    </row>
    <row r="276" spans="1:8" ht="52.5" customHeight="1" x14ac:dyDescent="0.25">
      <c r="A276" s="374"/>
      <c r="B276" s="374"/>
      <c r="C276" s="360" t="s">
        <v>369</v>
      </c>
      <c r="D276" s="357" t="s">
        <v>370</v>
      </c>
      <c r="E276" s="360" t="s">
        <v>371</v>
      </c>
      <c r="F276" s="379">
        <v>0.67200000000000004</v>
      </c>
      <c r="G276" s="360">
        <v>1.72</v>
      </c>
      <c r="H276" s="388">
        <f t="shared" si="17"/>
        <v>1.15584</v>
      </c>
    </row>
    <row r="277" spans="1:8" ht="52.5" customHeight="1" x14ac:dyDescent="0.25">
      <c r="A277" s="374"/>
      <c r="B277" s="374"/>
      <c r="C277" s="360" t="s">
        <v>372</v>
      </c>
      <c r="D277" s="357" t="s">
        <v>373</v>
      </c>
      <c r="E277" s="360" t="s">
        <v>374</v>
      </c>
      <c r="F277" s="379">
        <v>1.1739999999999999</v>
      </c>
      <c r="G277" s="360">
        <v>0.44</v>
      </c>
      <c r="H277" s="388">
        <f t="shared" si="17"/>
        <v>0.51656000000000002</v>
      </c>
    </row>
    <row r="278" spans="1:8" x14ac:dyDescent="0.25">
      <c r="G278" s="366" t="s">
        <v>11</v>
      </c>
      <c r="H278" s="377">
        <f>SUM(H273:H277)</f>
        <v>78.641059999999996</v>
      </c>
    </row>
    <row r="281" spans="1:8" ht="95.25" customHeight="1" x14ac:dyDescent="0.25">
      <c r="A281" s="358" t="s">
        <v>151</v>
      </c>
      <c r="B281" s="358"/>
      <c r="C281" s="358" t="s">
        <v>183</v>
      </c>
      <c r="D281" s="359" t="str">
        <f>SERVIÇOS!C63</f>
        <v>ARMAÇÃO DE PILAR OU VIGA DE UMA ESTRUTURA CONVENCIONAL  DE CONCRETO ARMADO EM UMA EDIFICAÇÃO TÉRREA OU SOBRADO UTILIZANDO AÇO CA-50 DE 10,0 MM</v>
      </c>
      <c r="E281" s="358" t="s">
        <v>193</v>
      </c>
      <c r="F281" s="358" t="s">
        <v>117</v>
      </c>
      <c r="G281" s="358" t="s">
        <v>118</v>
      </c>
      <c r="H281" s="358" t="s">
        <v>119</v>
      </c>
    </row>
    <row r="282" spans="1:8" ht="52.5" customHeight="1" x14ac:dyDescent="0.25">
      <c r="A282" s="374"/>
      <c r="B282" s="374"/>
      <c r="C282" s="360" t="s">
        <v>342</v>
      </c>
      <c r="D282" s="357" t="s">
        <v>352</v>
      </c>
      <c r="E282" s="360" t="s">
        <v>2</v>
      </c>
      <c r="F282" s="478">
        <v>0.54300000000000004</v>
      </c>
      <c r="G282" s="360">
        <v>0.18</v>
      </c>
      <c r="H282" s="388">
        <f>F282*G282</f>
        <v>9.7740000000000007E-2</v>
      </c>
    </row>
    <row r="283" spans="1:8" ht="31.5" x14ac:dyDescent="0.25">
      <c r="A283" s="374"/>
      <c r="B283" s="374"/>
      <c r="C283" s="360" t="s">
        <v>399</v>
      </c>
      <c r="D283" s="357" t="s">
        <v>344</v>
      </c>
      <c r="E283" s="360" t="s">
        <v>193</v>
      </c>
      <c r="F283" s="478">
        <v>2.5000000000000001E-2</v>
      </c>
      <c r="G283" s="360">
        <v>16.649999999999999</v>
      </c>
      <c r="H283" s="388">
        <f t="shared" ref="H283:H286" si="18">F283*G283</f>
        <v>0.41625000000000001</v>
      </c>
    </row>
    <row r="284" spans="1:8" x14ac:dyDescent="0.25">
      <c r="A284" s="374"/>
      <c r="B284" s="374"/>
      <c r="C284" s="360" t="s">
        <v>345</v>
      </c>
      <c r="D284" s="357" t="s">
        <v>346</v>
      </c>
      <c r="E284" s="360" t="s">
        <v>109</v>
      </c>
      <c r="F284" s="379">
        <v>1.46E-2</v>
      </c>
      <c r="G284" s="360">
        <v>14.53</v>
      </c>
      <c r="H284" s="388">
        <f t="shared" si="18"/>
        <v>0.21213799999999999</v>
      </c>
    </row>
    <row r="285" spans="1:8" x14ac:dyDescent="0.25">
      <c r="A285" s="374"/>
      <c r="B285" s="374"/>
      <c r="C285" s="360" t="s">
        <v>347</v>
      </c>
      <c r="D285" s="357" t="s">
        <v>348</v>
      </c>
      <c r="E285" s="360" t="s">
        <v>109</v>
      </c>
      <c r="F285" s="475">
        <v>9.5600000000000004E-2</v>
      </c>
      <c r="G285" s="360">
        <v>18.809999999999999</v>
      </c>
      <c r="H285" s="388">
        <f t="shared" si="18"/>
        <v>1.7982359999999999</v>
      </c>
    </row>
    <row r="286" spans="1:8" ht="45" customHeight="1" x14ac:dyDescent="0.25">
      <c r="A286" s="374"/>
      <c r="B286" s="374"/>
      <c r="C286" s="360" t="s">
        <v>377</v>
      </c>
      <c r="D286" s="357" t="s">
        <v>378</v>
      </c>
      <c r="E286" s="360" t="s">
        <v>193</v>
      </c>
      <c r="F286" s="379">
        <v>1</v>
      </c>
      <c r="G286" s="360">
        <v>12.95</v>
      </c>
      <c r="H286" s="388">
        <f t="shared" si="18"/>
        <v>12.95</v>
      </c>
    </row>
    <row r="287" spans="1:8" x14ac:dyDescent="0.25">
      <c r="G287" s="366" t="s">
        <v>11</v>
      </c>
      <c r="H287" s="377">
        <f>SUM(H282:H286)</f>
        <v>15.474364</v>
      </c>
    </row>
    <row r="291" spans="1:8" ht="110.25" customHeight="1" x14ac:dyDescent="0.25">
      <c r="A291" s="358" t="s">
        <v>153</v>
      </c>
      <c r="B291" s="358"/>
      <c r="C291" s="358" t="s">
        <v>183</v>
      </c>
      <c r="D291" s="359" t="str">
        <f>SERVIÇOS!C64</f>
        <v>ARMAÇÃO DE PILAR OU VIGA DE UMA ESTRUTURA CONVENCIONAL
DE CONCRETO ARMADO EM UMA EDIFICAÇÃO TÉRREA OU SOBRADO
UTILIZANDO AÇO CA-60 DE 5,0 MM</v>
      </c>
      <c r="E291" s="358" t="s">
        <v>184</v>
      </c>
      <c r="F291" s="358" t="s">
        <v>117</v>
      </c>
      <c r="G291" s="358" t="s">
        <v>118</v>
      </c>
      <c r="H291" s="358" t="s">
        <v>119</v>
      </c>
    </row>
    <row r="292" spans="1:8" ht="61.5" customHeight="1" x14ac:dyDescent="0.25">
      <c r="A292" s="374"/>
      <c r="B292" s="374"/>
      <c r="C292" s="360" t="s">
        <v>342</v>
      </c>
      <c r="D292" s="357" t="s">
        <v>352</v>
      </c>
      <c r="E292" s="360" t="s">
        <v>2</v>
      </c>
      <c r="F292" s="379">
        <v>1.19</v>
      </c>
      <c r="G292" s="360">
        <v>0.18</v>
      </c>
      <c r="H292" s="388">
        <f>F292*G292</f>
        <v>0.21419999999999997</v>
      </c>
    </row>
    <row r="293" spans="1:8" ht="50.25" customHeight="1" x14ac:dyDescent="0.25">
      <c r="A293" s="374"/>
      <c r="B293" s="374"/>
      <c r="C293" s="360" t="s">
        <v>399</v>
      </c>
      <c r="D293" s="357" t="s">
        <v>344</v>
      </c>
      <c r="E293" s="360" t="s">
        <v>193</v>
      </c>
      <c r="F293" s="475">
        <v>2.5000000000000001E-2</v>
      </c>
      <c r="G293" s="360">
        <v>16.649999999999999</v>
      </c>
      <c r="H293" s="388">
        <f t="shared" ref="H293:H296" si="19">F293*G293</f>
        <v>0.41625000000000001</v>
      </c>
    </row>
    <row r="294" spans="1:8" x14ac:dyDescent="0.25">
      <c r="A294" s="374"/>
      <c r="B294" s="374"/>
      <c r="C294" s="360" t="s">
        <v>345</v>
      </c>
      <c r="D294" s="357" t="s">
        <v>346</v>
      </c>
      <c r="E294" s="360" t="s">
        <v>109</v>
      </c>
      <c r="F294" s="475">
        <v>3.6700000000000003E-2</v>
      </c>
      <c r="G294" s="360">
        <v>14.53</v>
      </c>
      <c r="H294" s="388">
        <f t="shared" si="19"/>
        <v>0.53325100000000003</v>
      </c>
    </row>
    <row r="295" spans="1:8" x14ac:dyDescent="0.25">
      <c r="A295" s="374"/>
      <c r="B295" s="374"/>
      <c r="C295" s="360" t="s">
        <v>347</v>
      </c>
      <c r="D295" s="357" t="s">
        <v>348</v>
      </c>
      <c r="E295" s="360" t="s">
        <v>109</v>
      </c>
      <c r="F295" s="475">
        <v>0.2145</v>
      </c>
      <c r="G295" s="360">
        <v>18.809999999999999</v>
      </c>
      <c r="H295" s="388">
        <f t="shared" si="19"/>
        <v>4.034745</v>
      </c>
    </row>
    <row r="296" spans="1:8" ht="56.25" customHeight="1" x14ac:dyDescent="0.25">
      <c r="A296" s="374"/>
      <c r="B296" s="374"/>
      <c r="C296" s="360" t="s">
        <v>380</v>
      </c>
      <c r="D296" s="357" t="s">
        <v>381</v>
      </c>
      <c r="E296" s="360" t="s">
        <v>193</v>
      </c>
      <c r="F296" s="379">
        <v>1</v>
      </c>
      <c r="G296" s="360">
        <v>13.18</v>
      </c>
      <c r="H296" s="388">
        <f t="shared" si="19"/>
        <v>13.18</v>
      </c>
    </row>
    <row r="297" spans="1:8" x14ac:dyDescent="0.25">
      <c r="G297" s="366" t="s">
        <v>11</v>
      </c>
      <c r="H297" s="377">
        <f>SUM(H292:H296)</f>
        <v>18.378446</v>
      </c>
    </row>
    <row r="300" spans="1:8" ht="96.75" customHeight="1" x14ac:dyDescent="0.25">
      <c r="A300" s="358" t="s">
        <v>160</v>
      </c>
      <c r="B300" s="358"/>
      <c r="C300" s="358" t="s">
        <v>183</v>
      </c>
      <c r="D300" s="359" t="str">
        <f>SERVIÇOS!C65</f>
        <v xml:space="preserve">ARMAÇÃO DE PILAR OU VIGA DE UMA ESTRUTURA CONVENCIONAL DE CONCRETO ARMADO EM UMA EDIFICAÇÃO TÉRREA OU SOBRADO UTILIZANDO AÇO CA-50 DE 6,3 MM </v>
      </c>
      <c r="E300" s="358" t="s">
        <v>184</v>
      </c>
      <c r="F300" s="358" t="s">
        <v>117</v>
      </c>
      <c r="G300" s="358" t="s">
        <v>118</v>
      </c>
      <c r="H300" s="358" t="s">
        <v>119</v>
      </c>
    </row>
    <row r="301" spans="1:8" ht="55.5" customHeight="1" x14ac:dyDescent="0.25">
      <c r="A301" s="374"/>
      <c r="B301" s="374"/>
      <c r="C301" s="360" t="s">
        <v>342</v>
      </c>
      <c r="D301" s="357" t="s">
        <v>352</v>
      </c>
      <c r="E301" s="360" t="s">
        <v>204</v>
      </c>
      <c r="F301" s="379">
        <v>0.97</v>
      </c>
      <c r="G301" s="360">
        <v>0.18</v>
      </c>
      <c r="H301" s="388">
        <f>F301*G301</f>
        <v>0.17459999999999998</v>
      </c>
    </row>
    <row r="302" spans="1:8" ht="40.5" customHeight="1" x14ac:dyDescent="0.25">
      <c r="A302" s="374"/>
      <c r="B302" s="374"/>
      <c r="C302" s="360" t="s">
        <v>399</v>
      </c>
      <c r="D302" s="357" t="s">
        <v>344</v>
      </c>
      <c r="E302" s="360" t="s">
        <v>193</v>
      </c>
      <c r="F302" s="379">
        <v>2.5000000000000001E-2</v>
      </c>
      <c r="G302" s="360">
        <v>16.649999999999999</v>
      </c>
      <c r="H302" s="388">
        <f t="shared" ref="H302:H305" si="20">F302*G302</f>
        <v>0.41625000000000001</v>
      </c>
    </row>
    <row r="303" spans="1:8" x14ac:dyDescent="0.25">
      <c r="A303" s="374"/>
      <c r="B303" s="374"/>
      <c r="C303" s="360" t="s">
        <v>345</v>
      </c>
      <c r="D303" s="357" t="s">
        <v>346</v>
      </c>
      <c r="E303" s="360" t="s">
        <v>109</v>
      </c>
      <c r="F303" s="379">
        <v>0.01</v>
      </c>
      <c r="G303" s="360">
        <v>14.53</v>
      </c>
      <c r="H303" s="388">
        <f t="shared" si="20"/>
        <v>0.14529999999999998</v>
      </c>
    </row>
    <row r="304" spans="1:8" x14ac:dyDescent="0.25">
      <c r="A304" s="374"/>
      <c r="B304" s="374"/>
      <c r="C304" s="360" t="s">
        <v>347</v>
      </c>
      <c r="D304" s="357" t="s">
        <v>348</v>
      </c>
      <c r="E304" s="360" t="s">
        <v>109</v>
      </c>
      <c r="F304" s="379">
        <v>0.09</v>
      </c>
      <c r="G304" s="360">
        <v>18.809999999999999</v>
      </c>
      <c r="H304" s="388">
        <f t="shared" si="20"/>
        <v>1.6928999999999998</v>
      </c>
    </row>
    <row r="305" spans="1:8" ht="31.5" x14ac:dyDescent="0.25">
      <c r="A305" s="374"/>
      <c r="B305" s="374"/>
      <c r="C305" s="360" t="s">
        <v>383</v>
      </c>
      <c r="D305" s="357" t="s">
        <v>384</v>
      </c>
      <c r="E305" s="360" t="s">
        <v>193</v>
      </c>
      <c r="F305" s="379">
        <v>1</v>
      </c>
      <c r="G305" s="360">
        <v>13.79</v>
      </c>
      <c r="H305" s="388">
        <f t="shared" si="20"/>
        <v>13.79</v>
      </c>
    </row>
    <row r="306" spans="1:8" x14ac:dyDescent="0.25">
      <c r="G306" s="366" t="s">
        <v>11</v>
      </c>
      <c r="H306" s="377">
        <f>SUM(H301:H305)</f>
        <v>16.219049999999999</v>
      </c>
    </row>
    <row r="310" spans="1:8" ht="82.5" customHeight="1" x14ac:dyDescent="0.25">
      <c r="A310" s="358" t="s">
        <v>161</v>
      </c>
      <c r="B310" s="358"/>
      <c r="C310" s="358" t="s">
        <v>183</v>
      </c>
      <c r="D310" s="359" t="str">
        <f>SERVIÇOS!C66</f>
        <v>FABRICAÇÃO DE FÔRMA PARA VIGAS, EM CHAPA DE MADEIRA COMPENSADA RESINADA, E = 17 MM. AF_09/2020</v>
      </c>
      <c r="E310" s="358" t="s">
        <v>188</v>
      </c>
      <c r="F310" s="358" t="s">
        <v>117</v>
      </c>
      <c r="G310" s="358" t="s">
        <v>118</v>
      </c>
      <c r="H310" s="358" t="s">
        <v>119</v>
      </c>
    </row>
    <row r="311" spans="1:8" ht="44.25" customHeight="1" x14ac:dyDescent="0.25">
      <c r="A311" s="374"/>
      <c r="B311" s="374"/>
      <c r="C311" s="360" t="s">
        <v>399</v>
      </c>
      <c r="D311" s="357" t="s">
        <v>386</v>
      </c>
      <c r="E311" s="360" t="s">
        <v>184</v>
      </c>
      <c r="F311" s="379">
        <v>1.1459999999999999</v>
      </c>
      <c r="G311" s="360">
        <v>32.71</v>
      </c>
      <c r="H311" s="388">
        <f>F311*G311</f>
        <v>37.485659999999996</v>
      </c>
    </row>
    <row r="312" spans="1:8" ht="45" customHeight="1" x14ac:dyDescent="0.25">
      <c r="A312" s="374"/>
      <c r="B312" s="374"/>
      <c r="C312" s="360" t="s">
        <v>387</v>
      </c>
      <c r="D312" s="357" t="s">
        <v>388</v>
      </c>
      <c r="E312" s="360" t="s">
        <v>107</v>
      </c>
      <c r="F312" s="379">
        <v>0.16600000000000001</v>
      </c>
      <c r="G312" s="360">
        <v>9.9499999999999993</v>
      </c>
      <c r="H312" s="388">
        <f t="shared" ref="H312:H318" si="21">F312*G312</f>
        <v>1.6516999999999999</v>
      </c>
    </row>
    <row r="313" spans="1:8" ht="45" customHeight="1" x14ac:dyDescent="0.25">
      <c r="A313" s="374"/>
      <c r="B313" s="374"/>
      <c r="C313" s="360" t="s">
        <v>389</v>
      </c>
      <c r="D313" s="357" t="s">
        <v>390</v>
      </c>
      <c r="E313" s="360" t="s">
        <v>107</v>
      </c>
      <c r="F313" s="379">
        <v>6.952</v>
      </c>
      <c r="G313" s="360">
        <v>3.48</v>
      </c>
      <c r="H313" s="388">
        <f t="shared" si="21"/>
        <v>24.192959999999999</v>
      </c>
    </row>
    <row r="314" spans="1:8" x14ac:dyDescent="0.25">
      <c r="A314" s="374"/>
      <c r="B314" s="374"/>
      <c r="C314" s="360" t="s">
        <v>391</v>
      </c>
      <c r="D314" s="357" t="s">
        <v>392</v>
      </c>
      <c r="E314" s="360" t="s">
        <v>193</v>
      </c>
      <c r="F314" s="379">
        <v>0.159</v>
      </c>
      <c r="G314" s="360">
        <v>17.940000000000001</v>
      </c>
      <c r="H314" s="388">
        <f t="shared" si="21"/>
        <v>2.8524600000000002</v>
      </c>
    </row>
    <row r="315" spans="1:8" x14ac:dyDescent="0.25">
      <c r="A315" s="374"/>
      <c r="B315" s="374"/>
      <c r="C315" s="360" t="s">
        <v>393</v>
      </c>
      <c r="D315" s="357" t="s">
        <v>394</v>
      </c>
      <c r="E315" s="360" t="s">
        <v>109</v>
      </c>
      <c r="F315" s="379">
        <v>0.1</v>
      </c>
      <c r="G315" s="360">
        <v>15.73</v>
      </c>
      <c r="H315" s="388">
        <f t="shared" si="21"/>
        <v>1.5730000000000002</v>
      </c>
    </row>
    <row r="316" spans="1:8" x14ac:dyDescent="0.25">
      <c r="A316" s="374"/>
      <c r="B316" s="374"/>
      <c r="C316" s="360" t="s">
        <v>367</v>
      </c>
      <c r="D316" s="357" t="s">
        <v>368</v>
      </c>
      <c r="E316" s="360" t="s">
        <v>109</v>
      </c>
      <c r="F316" s="379">
        <v>1</v>
      </c>
      <c r="G316" s="360">
        <v>18.71</v>
      </c>
      <c r="H316" s="388">
        <f t="shared" si="21"/>
        <v>18.71</v>
      </c>
    </row>
    <row r="317" spans="1:8" ht="54" customHeight="1" x14ac:dyDescent="0.25">
      <c r="A317" s="374"/>
      <c r="B317" s="374"/>
      <c r="C317" s="360" t="s">
        <v>395</v>
      </c>
      <c r="D317" s="357" t="s">
        <v>396</v>
      </c>
      <c r="E317" s="360" t="s">
        <v>371</v>
      </c>
      <c r="F317" s="379">
        <v>0.05</v>
      </c>
      <c r="G317" s="360">
        <v>23.24</v>
      </c>
      <c r="H317" s="388">
        <f t="shared" si="21"/>
        <v>1.1619999999999999</v>
      </c>
    </row>
    <row r="318" spans="1:8" ht="61.5" customHeight="1" x14ac:dyDescent="0.25">
      <c r="A318" s="374"/>
      <c r="B318" s="374"/>
      <c r="C318" s="360" t="s">
        <v>397</v>
      </c>
      <c r="D318" s="357" t="s">
        <v>398</v>
      </c>
      <c r="E318" s="360" t="s">
        <v>374</v>
      </c>
      <c r="F318" s="379">
        <v>0.152</v>
      </c>
      <c r="G318" s="360">
        <v>20.7</v>
      </c>
      <c r="H318" s="388">
        <f t="shared" si="21"/>
        <v>3.1463999999999999</v>
      </c>
    </row>
    <row r="319" spans="1:8" x14ac:dyDescent="0.25">
      <c r="G319" s="366" t="s">
        <v>11</v>
      </c>
      <c r="H319" s="377">
        <f>SUM(H311:H318)</f>
        <v>90.774180000000001</v>
      </c>
    </row>
    <row r="321" spans="1:8" ht="83.25" customHeight="1" x14ac:dyDescent="0.25">
      <c r="A321" s="358" t="s">
        <v>209</v>
      </c>
      <c r="B321" s="358"/>
      <c r="C321" s="358" t="s">
        <v>183</v>
      </c>
      <c r="D321" s="359" t="str">
        <f>SERVIÇOS!C70</f>
        <v>ARMAÇÃO DE LAJE DE UMA ESTRUTURA CONVENCIONAL DE CONCRETO ARMADO EM UMA EDIFICAÇÃO TÉRREA OU SOBRADO UTILIZANDO AÇO CA-50 DE 8,0 MM</v>
      </c>
      <c r="E321" s="358" t="s">
        <v>184</v>
      </c>
      <c r="F321" s="358" t="s">
        <v>117</v>
      </c>
      <c r="G321" s="358" t="s">
        <v>118</v>
      </c>
      <c r="H321" s="358" t="s">
        <v>119</v>
      </c>
    </row>
    <row r="322" spans="1:8" ht="51.75" customHeight="1" x14ac:dyDescent="0.25">
      <c r="A322" s="360"/>
      <c r="B322" s="360"/>
      <c r="C322" s="360" t="s">
        <v>342</v>
      </c>
      <c r="D322" s="357" t="s">
        <v>352</v>
      </c>
      <c r="E322" s="360" t="s">
        <v>2</v>
      </c>
      <c r="F322" s="475">
        <v>0.72799999999999998</v>
      </c>
      <c r="G322" s="360">
        <v>0.18</v>
      </c>
      <c r="H322" s="388">
        <f>F322*G322</f>
        <v>0.13103999999999999</v>
      </c>
    </row>
    <row r="323" spans="1:8" ht="44.25" customHeight="1" x14ac:dyDescent="0.25">
      <c r="A323" s="360"/>
      <c r="B323" s="360"/>
      <c r="C323" s="360" t="s">
        <v>399</v>
      </c>
      <c r="D323" s="357" t="s">
        <v>344</v>
      </c>
      <c r="E323" s="360" t="s">
        <v>193</v>
      </c>
      <c r="F323" s="475">
        <v>2.5000000000000001E-2</v>
      </c>
      <c r="G323" s="360">
        <v>16.95</v>
      </c>
      <c r="H323" s="388">
        <f t="shared" ref="H323:H326" si="22">F323*G323</f>
        <v>0.42375000000000002</v>
      </c>
    </row>
    <row r="324" spans="1:8" x14ac:dyDescent="0.25">
      <c r="A324" s="360"/>
      <c r="B324" s="360"/>
      <c r="C324" s="360" t="s">
        <v>345</v>
      </c>
      <c r="D324" s="357" t="s">
        <v>346</v>
      </c>
      <c r="E324" s="360" t="s">
        <v>109</v>
      </c>
      <c r="F324" s="475">
        <v>1.4E-2</v>
      </c>
      <c r="G324" s="360">
        <v>14.53</v>
      </c>
      <c r="H324" s="388">
        <f t="shared" si="22"/>
        <v>0.20341999999999999</v>
      </c>
    </row>
    <row r="325" spans="1:8" x14ac:dyDescent="0.25">
      <c r="A325" s="360"/>
      <c r="B325" s="360"/>
      <c r="C325" s="360" t="s">
        <v>347</v>
      </c>
      <c r="D325" s="357" t="s">
        <v>348</v>
      </c>
      <c r="E325" s="360" t="s">
        <v>109</v>
      </c>
      <c r="F325" s="475">
        <v>8.5900000000000004E-2</v>
      </c>
      <c r="G325" s="360">
        <v>18.809999999999999</v>
      </c>
      <c r="H325" s="388">
        <f t="shared" si="22"/>
        <v>1.6157790000000001</v>
      </c>
    </row>
    <row r="326" spans="1:8" ht="45" customHeight="1" x14ac:dyDescent="0.25">
      <c r="A326" s="360"/>
      <c r="B326" s="360"/>
      <c r="C326" s="360" t="s">
        <v>406</v>
      </c>
      <c r="D326" s="357" t="s">
        <v>407</v>
      </c>
      <c r="E326" s="360" t="s">
        <v>193</v>
      </c>
      <c r="F326" s="475">
        <v>1</v>
      </c>
      <c r="G326" s="360">
        <v>13.81</v>
      </c>
      <c r="H326" s="388">
        <f t="shared" si="22"/>
        <v>13.81</v>
      </c>
    </row>
    <row r="327" spans="1:8" x14ac:dyDescent="0.25">
      <c r="G327" s="366" t="s">
        <v>11</v>
      </c>
      <c r="H327" s="377">
        <f>SUM(H322:H326)</f>
        <v>16.183989</v>
      </c>
    </row>
    <row r="330" spans="1:8" ht="83.25" customHeight="1" x14ac:dyDescent="0.25">
      <c r="A330" s="358" t="s">
        <v>210</v>
      </c>
      <c r="B330" s="358"/>
      <c r="C330" s="358" t="s">
        <v>183</v>
      </c>
      <c r="D330" s="359" t="str">
        <f>SERVIÇOS!C71</f>
        <v>FABRICAÇÃO DE FÔRMA PARA LAJES, EM CHAPA DE MADEIRA COMPENSADA RESINADA, E = 17 MM. AF_09/2020</v>
      </c>
      <c r="E330" s="358" t="s">
        <v>184</v>
      </c>
      <c r="F330" s="358" t="s">
        <v>117</v>
      </c>
      <c r="G330" s="358" t="s">
        <v>118</v>
      </c>
      <c r="H330" s="358" t="s">
        <v>119</v>
      </c>
    </row>
    <row r="331" spans="1:8" ht="51.75" customHeight="1" x14ac:dyDescent="0.25">
      <c r="A331" s="360"/>
      <c r="B331" s="360"/>
      <c r="C331" s="360" t="s">
        <v>409</v>
      </c>
      <c r="D331" s="357" t="s">
        <v>386</v>
      </c>
      <c r="E331" s="360" t="s">
        <v>184</v>
      </c>
      <c r="F331" s="475">
        <v>1.05</v>
      </c>
      <c r="G331" s="360">
        <v>38.71</v>
      </c>
      <c r="H331" s="388">
        <f>F331*G331</f>
        <v>40.645500000000006</v>
      </c>
    </row>
    <row r="332" spans="1:8" x14ac:dyDescent="0.25">
      <c r="A332" s="360"/>
      <c r="B332" s="360"/>
      <c r="C332" s="360" t="s">
        <v>410</v>
      </c>
      <c r="D332" s="357" t="s">
        <v>394</v>
      </c>
      <c r="E332" s="360" t="s">
        <v>109</v>
      </c>
      <c r="F332" s="475">
        <v>5.0000000000000001E-3</v>
      </c>
      <c r="G332" s="360">
        <v>15.73</v>
      </c>
      <c r="H332" s="388">
        <f t="shared" ref="H332:H335" si="23">F332*G332</f>
        <v>7.8649999999999998E-2</v>
      </c>
    </row>
    <row r="333" spans="1:8" x14ac:dyDescent="0.25">
      <c r="A333" s="360"/>
      <c r="B333" s="360"/>
      <c r="C333" s="360" t="s">
        <v>367</v>
      </c>
      <c r="D333" s="357" t="s">
        <v>368</v>
      </c>
      <c r="E333" s="360" t="s">
        <v>109</v>
      </c>
      <c r="F333" s="475">
        <v>2.7E-2</v>
      </c>
      <c r="G333" s="360">
        <v>18.71</v>
      </c>
      <c r="H333" s="388">
        <f t="shared" si="23"/>
        <v>0.50517000000000001</v>
      </c>
    </row>
    <row r="334" spans="1:8" ht="56.25" customHeight="1" x14ac:dyDescent="0.25">
      <c r="A334" s="360"/>
      <c r="B334" s="360"/>
      <c r="C334" s="360" t="s">
        <v>395</v>
      </c>
      <c r="D334" s="357" t="s">
        <v>396</v>
      </c>
      <c r="E334" s="360" t="s">
        <v>371</v>
      </c>
      <c r="F334" s="475">
        <v>5.0000000000000001E-3</v>
      </c>
      <c r="G334" s="360">
        <v>23.24</v>
      </c>
      <c r="H334" s="388">
        <f t="shared" si="23"/>
        <v>0.1162</v>
      </c>
    </row>
    <row r="335" spans="1:8" ht="48" customHeight="1" x14ac:dyDescent="0.25">
      <c r="A335" s="360"/>
      <c r="B335" s="360"/>
      <c r="C335" s="360" t="s">
        <v>397</v>
      </c>
      <c r="D335" s="357" t="s">
        <v>398</v>
      </c>
      <c r="E335" s="360" t="s">
        <v>374</v>
      </c>
      <c r="F335" s="475">
        <v>1E-3</v>
      </c>
      <c r="G335" s="360">
        <v>20.7</v>
      </c>
      <c r="H335" s="388">
        <f t="shared" si="23"/>
        <v>2.07E-2</v>
      </c>
    </row>
    <row r="336" spans="1:8" x14ac:dyDescent="0.25">
      <c r="G336" s="366" t="s">
        <v>11</v>
      </c>
      <c r="H336" s="377">
        <f>SUM(H331:H335)</f>
        <v>41.366220000000006</v>
      </c>
    </row>
    <row r="350" spans="1:8" ht="66" customHeight="1" x14ac:dyDescent="0.25">
      <c r="A350" s="358" t="s">
        <v>217</v>
      </c>
      <c r="B350" s="358"/>
      <c r="C350" s="358" t="s">
        <v>183</v>
      </c>
      <c r="D350" s="359" t="str">
        <f>SERVIÇOS!C80</f>
        <v>IMPERMEABILIZAÇAO COM VEDAPREN BRANCO OU SIMILAR, PARA LAJES, 06 DEMAÕS</v>
      </c>
      <c r="E350" s="358" t="s">
        <v>184</v>
      </c>
      <c r="F350" s="358" t="s">
        <v>117</v>
      </c>
      <c r="G350" s="358" t="s">
        <v>118</v>
      </c>
      <c r="H350" s="358" t="s">
        <v>119</v>
      </c>
    </row>
    <row r="351" spans="1:8" x14ac:dyDescent="0.25">
      <c r="A351" s="360"/>
      <c r="B351" s="360"/>
      <c r="C351" s="360" t="s">
        <v>423</v>
      </c>
      <c r="D351" s="357" t="s">
        <v>421</v>
      </c>
      <c r="E351" s="360" t="s">
        <v>422</v>
      </c>
      <c r="F351" s="475">
        <v>2.5</v>
      </c>
      <c r="G351" s="360">
        <v>17.510000000000002</v>
      </c>
      <c r="H351" s="388">
        <f>F351*G351</f>
        <v>43.775000000000006</v>
      </c>
    </row>
    <row r="352" spans="1:8" x14ac:dyDescent="0.25">
      <c r="A352" s="360"/>
      <c r="B352" s="360"/>
      <c r="C352" s="360">
        <v>88310</v>
      </c>
      <c r="D352" s="357" t="s">
        <v>424</v>
      </c>
      <c r="E352" s="360" t="s">
        <v>109</v>
      </c>
      <c r="F352" s="475">
        <v>26.39</v>
      </c>
      <c r="G352" s="360">
        <v>0.01</v>
      </c>
      <c r="H352" s="388">
        <f t="shared" ref="H352:H355" si="24">F352*G352</f>
        <v>0.26390000000000002</v>
      </c>
    </row>
    <row r="353" spans="1:8" x14ac:dyDescent="0.25">
      <c r="A353" s="360"/>
      <c r="B353" s="360"/>
      <c r="C353" s="360"/>
      <c r="D353" s="357"/>
      <c r="E353" s="360"/>
      <c r="F353" s="475"/>
      <c r="G353" s="360"/>
      <c r="H353" s="388">
        <f t="shared" si="24"/>
        <v>0</v>
      </c>
    </row>
    <row r="354" spans="1:8" x14ac:dyDescent="0.25">
      <c r="A354" s="360"/>
      <c r="B354" s="360"/>
      <c r="C354" s="360"/>
      <c r="D354" s="357"/>
      <c r="E354" s="360"/>
      <c r="F354" s="475"/>
      <c r="G354" s="360"/>
      <c r="H354" s="388">
        <f t="shared" si="24"/>
        <v>0</v>
      </c>
    </row>
    <row r="355" spans="1:8" x14ac:dyDescent="0.25">
      <c r="A355" s="360"/>
      <c r="B355" s="360"/>
      <c r="C355" s="360"/>
      <c r="D355" s="357"/>
      <c r="E355" s="360"/>
      <c r="F355" s="475"/>
      <c r="G355" s="360"/>
      <c r="H355" s="388">
        <f t="shared" si="24"/>
        <v>0</v>
      </c>
    </row>
    <row r="356" spans="1:8" x14ac:dyDescent="0.25">
      <c r="G356" s="366" t="s">
        <v>11</v>
      </c>
      <c r="H356" s="377">
        <f>SUM(H351:H355)</f>
        <v>44.038900000000005</v>
      </c>
    </row>
    <row r="360" spans="1:8" ht="109.5" customHeight="1" x14ac:dyDescent="0.25">
      <c r="A360" s="358" t="s">
        <v>218</v>
      </c>
      <c r="B360" s="358"/>
      <c r="C360" s="358" t="s">
        <v>183</v>
      </c>
      <c r="D360" s="359" t="str">
        <f>SERVIÇOS!C81</f>
        <v>TRAMA DE MADEIRA COMPOSTA POR TERÇAS PARA TELHADOS DE ATÉ 2 ÁGUAS PARA TELHA ONDULADA DE FIBROCIMENTO, METÁLICA, PLÁSTICA OU TERMOACÚSTICA, INCLUSO TRANSPORTE VERTICAL</v>
      </c>
      <c r="E360" s="358" t="s">
        <v>184</v>
      </c>
      <c r="F360" s="358" t="s">
        <v>117</v>
      </c>
      <c r="G360" s="358" t="s">
        <v>118</v>
      </c>
      <c r="H360" s="358" t="s">
        <v>119</v>
      </c>
    </row>
    <row r="361" spans="1:8" ht="48" customHeight="1" x14ac:dyDescent="0.25">
      <c r="A361" s="360"/>
      <c r="B361" s="360"/>
      <c r="C361" s="360" t="s">
        <v>426</v>
      </c>
      <c r="D361" s="357" t="s">
        <v>425</v>
      </c>
      <c r="E361" s="360" t="s">
        <v>107</v>
      </c>
      <c r="F361" s="475">
        <v>0.40600000000000003</v>
      </c>
      <c r="G361" s="360">
        <v>29.06</v>
      </c>
      <c r="H361" s="388">
        <f>F361*G361</f>
        <v>11.798360000000001</v>
      </c>
    </row>
    <row r="362" spans="1:8" ht="24.75" customHeight="1" x14ac:dyDescent="0.25">
      <c r="A362" s="360"/>
      <c r="B362" s="360"/>
      <c r="C362" s="360" t="s">
        <v>427</v>
      </c>
      <c r="D362" s="357" t="s">
        <v>428</v>
      </c>
      <c r="E362" s="360" t="s">
        <v>422</v>
      </c>
      <c r="F362" s="475">
        <v>0.02</v>
      </c>
      <c r="G362" s="360">
        <v>22.29</v>
      </c>
      <c r="H362" s="388">
        <f t="shared" ref="H362:H366" si="25">F362*G362</f>
        <v>0.44579999999999997</v>
      </c>
    </row>
    <row r="363" spans="1:8" x14ac:dyDescent="0.25">
      <c r="A363" s="360"/>
      <c r="B363" s="360"/>
      <c r="C363" s="360" t="s">
        <v>393</v>
      </c>
      <c r="D363" s="357" t="s">
        <v>394</v>
      </c>
      <c r="E363" s="360" t="s">
        <v>109</v>
      </c>
      <c r="F363" s="475">
        <v>4.8000000000000001E-2</v>
      </c>
      <c r="G363" s="360">
        <v>15.73</v>
      </c>
      <c r="H363" s="388">
        <f t="shared" si="25"/>
        <v>0.75504000000000004</v>
      </c>
    </row>
    <row r="364" spans="1:8" x14ac:dyDescent="0.25">
      <c r="A364" s="360"/>
      <c r="B364" s="360"/>
      <c r="C364" s="360" t="s">
        <v>367</v>
      </c>
      <c r="D364" s="357" t="s">
        <v>368</v>
      </c>
      <c r="E364" s="360" t="s">
        <v>109</v>
      </c>
      <c r="F364" s="475">
        <v>9.9000000000000005E-2</v>
      </c>
      <c r="G364" s="360">
        <v>18.71</v>
      </c>
      <c r="H364" s="388">
        <f t="shared" si="25"/>
        <v>1.8522900000000002</v>
      </c>
    </row>
    <row r="365" spans="1:8" ht="54" customHeight="1" x14ac:dyDescent="0.25">
      <c r="A365" s="360"/>
      <c r="B365" s="360"/>
      <c r="C365" s="360" t="s">
        <v>429</v>
      </c>
      <c r="D365" s="357" t="s">
        <v>430</v>
      </c>
      <c r="E365" s="360" t="s">
        <v>371</v>
      </c>
      <c r="F365" s="475">
        <v>3.0000000000000001E-3</v>
      </c>
      <c r="G365" s="360">
        <v>21.55</v>
      </c>
      <c r="H365" s="388">
        <f t="shared" si="25"/>
        <v>6.4649999999999999E-2</v>
      </c>
    </row>
    <row r="366" spans="1:8" ht="58.5" customHeight="1" x14ac:dyDescent="0.25">
      <c r="A366" s="360"/>
      <c r="B366" s="360"/>
      <c r="C366" s="360" t="s">
        <v>431</v>
      </c>
      <c r="D366" s="357" t="s">
        <v>432</v>
      </c>
      <c r="E366" s="360" t="s">
        <v>374</v>
      </c>
      <c r="F366" s="475">
        <v>4.1000000000000003E-3</v>
      </c>
      <c r="G366" s="360">
        <v>20.61</v>
      </c>
      <c r="H366" s="388">
        <f t="shared" si="25"/>
        <v>8.4501000000000007E-2</v>
      </c>
    </row>
    <row r="367" spans="1:8" x14ac:dyDescent="0.25">
      <c r="G367" s="366" t="s">
        <v>11</v>
      </c>
      <c r="H367" s="377">
        <f>SUM(H361:H366)</f>
        <v>15.000641</v>
      </c>
    </row>
    <row r="370" spans="1:8" ht="45" customHeight="1" x14ac:dyDescent="0.25">
      <c r="A370" s="358" t="s">
        <v>219</v>
      </c>
      <c r="B370" s="358"/>
      <c r="C370" s="358" t="s">
        <v>183</v>
      </c>
      <c r="D370" s="359" t="str">
        <f>SERVIÇOS!C82</f>
        <v>PINTURA IMUNIZANTE PARA MADEIRA, 2 DEMÃOS. AF_01/2021</v>
      </c>
      <c r="E370" s="358" t="s">
        <v>184</v>
      </c>
      <c r="F370" s="358" t="s">
        <v>117</v>
      </c>
      <c r="G370" s="358" t="s">
        <v>118</v>
      </c>
      <c r="H370" s="358" t="s">
        <v>119</v>
      </c>
    </row>
    <row r="371" spans="1:8" x14ac:dyDescent="0.25">
      <c r="A371" s="360"/>
      <c r="B371" s="360"/>
      <c r="C371" s="360" t="s">
        <v>434</v>
      </c>
      <c r="D371" s="357" t="s">
        <v>433</v>
      </c>
      <c r="E371" s="360" t="s">
        <v>203</v>
      </c>
      <c r="F371" s="475">
        <v>0.32569999999999999</v>
      </c>
      <c r="G371" s="360">
        <v>29.9</v>
      </c>
      <c r="H371" s="388">
        <f>F371*G371</f>
        <v>9.7384299999999993</v>
      </c>
    </row>
    <row r="372" spans="1:8" x14ac:dyDescent="0.25">
      <c r="A372" s="360"/>
      <c r="B372" s="360"/>
      <c r="C372" s="360">
        <v>88310</v>
      </c>
      <c r="D372" s="357" t="s">
        <v>424</v>
      </c>
      <c r="E372" s="360" t="s">
        <v>109</v>
      </c>
      <c r="F372" s="475">
        <v>0.3</v>
      </c>
      <c r="G372" s="360">
        <v>26.39</v>
      </c>
      <c r="H372" s="388">
        <f t="shared" ref="H372:H375" si="26">F372*G372</f>
        <v>7.9169999999999998</v>
      </c>
    </row>
    <row r="373" spans="1:8" x14ac:dyDescent="0.25">
      <c r="A373" s="360"/>
      <c r="B373" s="360"/>
      <c r="C373" s="360"/>
      <c r="D373" s="357"/>
      <c r="E373" s="360"/>
      <c r="F373" s="475"/>
      <c r="G373" s="360"/>
      <c r="H373" s="388">
        <f t="shared" si="26"/>
        <v>0</v>
      </c>
    </row>
    <row r="374" spans="1:8" x14ac:dyDescent="0.25">
      <c r="A374" s="360"/>
      <c r="B374" s="360"/>
      <c r="C374" s="360"/>
      <c r="D374" s="357"/>
      <c r="E374" s="360"/>
      <c r="F374" s="475"/>
      <c r="G374" s="360"/>
      <c r="H374" s="388">
        <f t="shared" si="26"/>
        <v>0</v>
      </c>
    </row>
    <row r="375" spans="1:8" x14ac:dyDescent="0.25">
      <c r="A375" s="360"/>
      <c r="B375" s="360"/>
      <c r="C375" s="360"/>
      <c r="D375" s="357"/>
      <c r="E375" s="360"/>
      <c r="F375" s="475"/>
      <c r="G375" s="360"/>
      <c r="H375" s="388">
        <f t="shared" si="26"/>
        <v>0</v>
      </c>
    </row>
    <row r="376" spans="1:8" x14ac:dyDescent="0.25">
      <c r="G376" s="366" t="s">
        <v>11</v>
      </c>
      <c r="H376" s="377">
        <f>SUM(H371:H375)</f>
        <v>17.655429999999999</v>
      </c>
    </row>
    <row r="380" spans="1:8" ht="126" customHeight="1" x14ac:dyDescent="0.25">
      <c r="A380" s="358" t="s">
        <v>223</v>
      </c>
      <c r="B380" s="358"/>
      <c r="C380" s="358" t="s">
        <v>183</v>
      </c>
      <c r="D380" s="359" t="str">
        <f>SERVIÇOS!C87</f>
        <v>MASSA ÚNICA, PARA RECEBIMENTO DE PINTURA, EM ARGAMASSA TRAÇO 1:2:8, PREPARO MANUAL, APLICADA MANUALMENTE EM FACES INTERNAS DE PAREDES, ESPESSURA DE 20MM, COM EXECUÇÃO DE TALISCAS. AF_06/2014</v>
      </c>
      <c r="E380" s="358" t="s">
        <v>184</v>
      </c>
      <c r="F380" s="358" t="s">
        <v>117</v>
      </c>
      <c r="G380" s="358" t="s">
        <v>118</v>
      </c>
      <c r="H380" s="358" t="s">
        <v>119</v>
      </c>
    </row>
    <row r="381" spans="1:8" ht="82.5" customHeight="1" x14ac:dyDescent="0.25">
      <c r="A381" s="360"/>
      <c r="B381" s="360"/>
      <c r="C381" s="360" t="s">
        <v>592</v>
      </c>
      <c r="D381" s="357" t="s">
        <v>593</v>
      </c>
      <c r="E381" s="360"/>
      <c r="F381" s="475">
        <v>3.7600000000000001E-2</v>
      </c>
      <c r="G381" s="360">
        <v>556.77</v>
      </c>
      <c r="H381" s="388">
        <f t="shared" ref="H381:H384" si="27">F381*G381</f>
        <v>20.934552</v>
      </c>
    </row>
    <row r="382" spans="1:8" x14ac:dyDescent="0.25">
      <c r="A382" s="360"/>
      <c r="B382" s="360"/>
      <c r="C382" s="360">
        <f>C14</f>
        <v>88316</v>
      </c>
      <c r="D382" s="357" t="str">
        <f>D14</f>
        <v>SERVENTE COM ENCARGOS COMPLEMENTARES</v>
      </c>
      <c r="E382" s="360" t="s">
        <v>109</v>
      </c>
      <c r="F382" s="475">
        <v>0.2</v>
      </c>
      <c r="G382" s="389">
        <f>F14</f>
        <v>17.37</v>
      </c>
      <c r="H382" s="388">
        <f t="shared" si="27"/>
        <v>3.4740000000000002</v>
      </c>
    </row>
    <row r="383" spans="1:8" x14ac:dyDescent="0.25">
      <c r="A383" s="360"/>
      <c r="B383" s="360"/>
      <c r="C383" s="360">
        <f>C13</f>
        <v>88309</v>
      </c>
      <c r="D383" s="357" t="str">
        <f>D13</f>
        <v>PEDREIRO COM ENCARGOS COMPLEMENTARES</v>
      </c>
      <c r="E383" s="360" t="s">
        <v>109</v>
      </c>
      <c r="F383" s="475">
        <v>0.2</v>
      </c>
      <c r="G383" s="389">
        <f>F13</f>
        <v>25.06</v>
      </c>
      <c r="H383" s="388">
        <f t="shared" si="27"/>
        <v>5.0120000000000005</v>
      </c>
    </row>
    <row r="384" spans="1:8" x14ac:dyDescent="0.25">
      <c r="A384" s="360"/>
      <c r="B384" s="360"/>
      <c r="C384" s="360"/>
      <c r="D384" s="357"/>
      <c r="E384" s="360"/>
      <c r="F384" s="475"/>
      <c r="G384" s="360"/>
      <c r="H384" s="388">
        <f t="shared" si="27"/>
        <v>0</v>
      </c>
    </row>
    <row r="385" spans="1:8" x14ac:dyDescent="0.25">
      <c r="G385" s="366" t="s">
        <v>11</v>
      </c>
      <c r="H385" s="377">
        <f>SUM(H381:H384)</f>
        <v>29.420552000000001</v>
      </c>
    </row>
    <row r="396" spans="1:8" ht="75.75" customHeight="1" x14ac:dyDescent="0.25">
      <c r="A396" s="358" t="s">
        <v>225</v>
      </c>
      <c r="B396" s="358"/>
      <c r="C396" s="358" t="s">
        <v>183</v>
      </c>
      <c r="D396" s="359" t="str">
        <f>SERVIÇOS!C89</f>
        <v>EMASSAMENTO DE SUPERFÍCIE, COM APLICAÇÃO DE 01 DEMÃO DE MASSA ACRÍLICA, LIXAMENTO E RETOQUES - REV 03</v>
      </c>
      <c r="E396" s="358" t="s">
        <v>184</v>
      </c>
      <c r="F396" s="358" t="s">
        <v>117</v>
      </c>
      <c r="G396" s="358" t="s">
        <v>118</v>
      </c>
      <c r="H396" s="358" t="s">
        <v>119</v>
      </c>
    </row>
    <row r="397" spans="1:8" x14ac:dyDescent="0.25">
      <c r="A397" s="360"/>
      <c r="B397" s="360"/>
      <c r="C397" s="360" t="s">
        <v>445</v>
      </c>
      <c r="D397" s="357" t="s">
        <v>444</v>
      </c>
      <c r="E397" s="360" t="s">
        <v>203</v>
      </c>
      <c r="F397" s="475">
        <v>0.36</v>
      </c>
      <c r="G397" s="360">
        <v>6.72</v>
      </c>
      <c r="H397" s="388">
        <f>F397*G397</f>
        <v>2.4192</v>
      </c>
    </row>
    <row r="398" spans="1:8" ht="31.5" x14ac:dyDescent="0.25">
      <c r="A398" s="360"/>
      <c r="B398" s="360"/>
      <c r="C398" s="360" t="s">
        <v>446</v>
      </c>
      <c r="D398" s="357" t="s">
        <v>447</v>
      </c>
      <c r="E398" s="360" t="s">
        <v>2</v>
      </c>
      <c r="F398" s="475">
        <v>0.3</v>
      </c>
      <c r="G398" s="360">
        <v>0.45</v>
      </c>
      <c r="H398" s="388">
        <f t="shared" ref="H398:H399" si="28">F398*G398</f>
        <v>0.13500000000000001</v>
      </c>
    </row>
    <row r="399" spans="1:8" x14ac:dyDescent="0.25">
      <c r="A399" s="360"/>
      <c r="B399" s="360"/>
      <c r="C399" s="360">
        <v>88310</v>
      </c>
      <c r="D399" s="357" t="s">
        <v>424</v>
      </c>
      <c r="E399" s="360" t="s">
        <v>109</v>
      </c>
      <c r="F399" s="475">
        <v>0.3</v>
      </c>
      <c r="G399" s="360">
        <v>26.39</v>
      </c>
      <c r="H399" s="388">
        <f t="shared" si="28"/>
        <v>7.9169999999999998</v>
      </c>
    </row>
    <row r="400" spans="1:8" x14ac:dyDescent="0.25">
      <c r="G400" s="366" t="s">
        <v>11</v>
      </c>
      <c r="H400" s="377">
        <f>SUM(H397:H399)</f>
        <v>10.4712</v>
      </c>
    </row>
    <row r="403" spans="1:8" ht="49.5" customHeight="1" x14ac:dyDescent="0.25">
      <c r="A403" s="358" t="s">
        <v>228</v>
      </c>
      <c r="B403" s="358"/>
      <c r="C403" s="358" t="s">
        <v>183</v>
      </c>
      <c r="D403" s="359" t="str">
        <f>SERVIÇOS!C93</f>
        <v>TELA MOSQUITEIRO GALVANIZADA, MALHA 14, FIO 30</v>
      </c>
      <c r="E403" s="358" t="s">
        <v>184</v>
      </c>
      <c r="F403" s="358" t="s">
        <v>117</v>
      </c>
      <c r="G403" s="358" t="s">
        <v>118</v>
      </c>
      <c r="H403" s="358" t="s">
        <v>119</v>
      </c>
    </row>
    <row r="404" spans="1:8" x14ac:dyDescent="0.25">
      <c r="A404" s="360"/>
      <c r="B404" s="360"/>
      <c r="C404" s="360" t="s">
        <v>452</v>
      </c>
      <c r="D404" s="357" t="s">
        <v>453</v>
      </c>
      <c r="E404" s="360" t="s">
        <v>184</v>
      </c>
      <c r="F404" s="475">
        <v>1.05</v>
      </c>
      <c r="G404" s="360">
        <v>109.68</v>
      </c>
      <c r="H404" s="388">
        <f>F404*G404</f>
        <v>115.16400000000002</v>
      </c>
    </row>
    <row r="405" spans="1:8" x14ac:dyDescent="0.25">
      <c r="A405" s="360"/>
      <c r="B405" s="360"/>
      <c r="C405" s="360" t="s">
        <v>202</v>
      </c>
      <c r="D405" s="357" t="s">
        <v>201</v>
      </c>
      <c r="E405" s="360" t="s">
        <v>109</v>
      </c>
      <c r="F405" s="475">
        <v>0.8</v>
      </c>
      <c r="G405" s="360">
        <v>6.63</v>
      </c>
      <c r="H405" s="388">
        <f t="shared" ref="H405:H406" si="29">F405*G405</f>
        <v>5.3040000000000003</v>
      </c>
    </row>
    <row r="406" spans="1:8" x14ac:dyDescent="0.25">
      <c r="A406" s="360"/>
      <c r="B406" s="360"/>
      <c r="C406" s="360" t="s">
        <v>205</v>
      </c>
      <c r="D406" s="357" t="s">
        <v>206</v>
      </c>
      <c r="E406" s="360" t="s">
        <v>109</v>
      </c>
      <c r="F406" s="475">
        <v>0.8</v>
      </c>
      <c r="G406" s="360">
        <v>3.46</v>
      </c>
      <c r="H406" s="388">
        <f t="shared" si="29"/>
        <v>2.7680000000000002</v>
      </c>
    </row>
    <row r="407" spans="1:8" x14ac:dyDescent="0.25">
      <c r="G407" s="366" t="s">
        <v>11</v>
      </c>
      <c r="H407" s="377">
        <f>SUM(H404:H406)</f>
        <v>123.23600000000002</v>
      </c>
    </row>
    <row r="410" spans="1:8" ht="66" customHeight="1" x14ac:dyDescent="0.25">
      <c r="A410" s="358" t="s">
        <v>229</v>
      </c>
      <c r="B410" s="358"/>
      <c r="C410" s="358" t="s">
        <v>183</v>
      </c>
      <c r="D410" s="359" t="str">
        <f>SERVIÇOS!C94</f>
        <v>PORTA CORTA-FOGO 90X210X4CM - FORNECIMENTO E INSTALAÇÃO. AF_12/2019</v>
      </c>
      <c r="E410" s="358" t="s">
        <v>184</v>
      </c>
      <c r="F410" s="358" t="s">
        <v>117</v>
      </c>
      <c r="G410" s="358" t="s">
        <v>118</v>
      </c>
      <c r="H410" s="358" t="s">
        <v>119</v>
      </c>
    </row>
    <row r="411" spans="1:8" ht="55.5" customHeight="1" x14ac:dyDescent="0.25">
      <c r="A411" s="360"/>
      <c r="B411" s="360"/>
      <c r="C411" s="360" t="s">
        <v>454</v>
      </c>
      <c r="D411" s="357" t="s">
        <v>455</v>
      </c>
      <c r="E411" s="360" t="s">
        <v>2</v>
      </c>
      <c r="F411" s="475">
        <v>1</v>
      </c>
      <c r="G411" s="360">
        <v>800.75</v>
      </c>
      <c r="H411" s="388">
        <f>F411*G411</f>
        <v>800.75</v>
      </c>
    </row>
    <row r="412" spans="1:8" ht="31.5" x14ac:dyDescent="0.25">
      <c r="A412" s="360"/>
      <c r="B412" s="360"/>
      <c r="C412" s="360" t="s">
        <v>456</v>
      </c>
      <c r="D412" s="357" t="s">
        <v>457</v>
      </c>
      <c r="E412" s="360" t="s">
        <v>188</v>
      </c>
      <c r="F412" s="475">
        <v>4.2200000000000001E-2</v>
      </c>
      <c r="G412" s="360">
        <v>566.53</v>
      </c>
      <c r="H412" s="388">
        <f t="shared" ref="H412:H413" si="30">F412*G412</f>
        <v>23.907565999999999</v>
      </c>
    </row>
    <row r="413" spans="1:8" x14ac:dyDescent="0.25">
      <c r="A413" s="360"/>
      <c r="B413" s="360"/>
      <c r="C413" s="360">
        <f>C13</f>
        <v>88309</v>
      </c>
      <c r="D413" s="357" t="str">
        <f>D13</f>
        <v>PEDREIRO COM ENCARGOS COMPLEMENTARES</v>
      </c>
      <c r="E413" s="360" t="s">
        <v>109</v>
      </c>
      <c r="F413" s="475">
        <v>0.4</v>
      </c>
      <c r="G413" s="389">
        <f>F13</f>
        <v>25.06</v>
      </c>
      <c r="H413" s="388">
        <f t="shared" si="30"/>
        <v>10.024000000000001</v>
      </c>
    </row>
    <row r="414" spans="1:8" x14ac:dyDescent="0.25">
      <c r="G414" s="366" t="s">
        <v>11</v>
      </c>
      <c r="H414" s="377">
        <f>SUM(H411:H413)</f>
        <v>834.68156599999998</v>
      </c>
    </row>
    <row r="417" spans="1:8" ht="89.25" customHeight="1" x14ac:dyDescent="0.25">
      <c r="A417" s="358" t="s">
        <v>232</v>
      </c>
      <c r="B417" s="358"/>
      <c r="C417" s="358" t="s">
        <v>183</v>
      </c>
      <c r="D417" s="359" t="str">
        <f>SERVIÇOS!C98</f>
        <v>COMPACTAÇÃO MANUAL COM COMPACTADOR A PERCUSSÃO SAPINHO, SEM CONTROLE DO GRAU DE COMPACTAÇÃO</v>
      </c>
      <c r="E417" s="358" t="s">
        <v>184</v>
      </c>
      <c r="F417" s="358" t="s">
        <v>117</v>
      </c>
      <c r="G417" s="358" t="s">
        <v>118</v>
      </c>
      <c r="H417" s="358" t="s">
        <v>119</v>
      </c>
    </row>
    <row r="418" spans="1:8" x14ac:dyDescent="0.25">
      <c r="A418" s="360"/>
      <c r="B418" s="360"/>
      <c r="C418" s="360">
        <f>C14</f>
        <v>88316</v>
      </c>
      <c r="D418" s="357" t="str">
        <f>D14</f>
        <v>SERVENTE COM ENCARGOS COMPLEMENTARES</v>
      </c>
      <c r="E418" s="360" t="s">
        <v>109</v>
      </c>
      <c r="F418" s="475">
        <v>0.1</v>
      </c>
      <c r="G418" s="389">
        <f>F14</f>
        <v>17.37</v>
      </c>
      <c r="H418" s="388">
        <f>F418*G418</f>
        <v>1.7370000000000001</v>
      </c>
    </row>
    <row r="419" spans="1:8" ht="48" customHeight="1" x14ac:dyDescent="0.25">
      <c r="A419" s="360"/>
      <c r="B419" s="360"/>
      <c r="C419" s="360" t="s">
        <v>296</v>
      </c>
      <c r="D419" s="357" t="s">
        <v>297</v>
      </c>
      <c r="E419" s="360" t="s">
        <v>109</v>
      </c>
      <c r="F419" s="475">
        <v>0.08</v>
      </c>
      <c r="G419" s="360">
        <v>69.19</v>
      </c>
      <c r="H419" s="388">
        <f t="shared" ref="H419:H420" si="31">F419*G419</f>
        <v>5.5351999999999997</v>
      </c>
    </row>
    <row r="420" spans="1:8" x14ac:dyDescent="0.25">
      <c r="A420" s="360"/>
      <c r="B420" s="360"/>
      <c r="C420" s="360"/>
      <c r="D420" s="357"/>
      <c r="E420" s="360"/>
      <c r="F420" s="475"/>
      <c r="G420" s="389">
        <f>F20</f>
        <v>0</v>
      </c>
      <c r="H420" s="388">
        <f t="shared" si="31"/>
        <v>0</v>
      </c>
    </row>
    <row r="421" spans="1:8" x14ac:dyDescent="0.25">
      <c r="G421" s="366" t="s">
        <v>11</v>
      </c>
      <c r="H421" s="377">
        <f>SUM(H418:H420)</f>
        <v>7.2721999999999998</v>
      </c>
    </row>
    <row r="425" spans="1:8" ht="102" customHeight="1" x14ac:dyDescent="0.25">
      <c r="A425" s="358" t="s">
        <v>233</v>
      </c>
      <c r="B425" s="358"/>
      <c r="C425" s="358" t="s">
        <v>183</v>
      </c>
      <c r="D425" s="359" t="str">
        <f>SERVIÇOS!C99</f>
        <v>EXECUÇÃO DE PASSEIO (CALÇADA) OU PISO DE CONCRETO COM CONCRETO MOLDADO IN LOCO, USINADO, ACABAMENTO CONVENCIONAL, ESPESSURA 10 CM, ARMADO.</v>
      </c>
      <c r="E425" s="358" t="s">
        <v>184</v>
      </c>
      <c r="F425" s="358" t="s">
        <v>117</v>
      </c>
      <c r="G425" s="358" t="s">
        <v>118</v>
      </c>
      <c r="H425" s="358" t="s">
        <v>119</v>
      </c>
    </row>
    <row r="426" spans="1:8" ht="47.25" x14ac:dyDescent="0.25">
      <c r="A426" s="360"/>
      <c r="B426" s="360"/>
      <c r="C426" s="360" t="s">
        <v>464</v>
      </c>
      <c r="D426" s="357" t="s">
        <v>465</v>
      </c>
      <c r="E426" s="360" t="s">
        <v>184</v>
      </c>
      <c r="F426" s="475">
        <v>1.1224000000000001</v>
      </c>
      <c r="G426" s="360">
        <v>58.59</v>
      </c>
      <c r="H426" s="388">
        <f>F426*G426</f>
        <v>65.761416000000011</v>
      </c>
    </row>
    <row r="427" spans="1:8" ht="31.5" x14ac:dyDescent="0.25">
      <c r="A427" s="360"/>
      <c r="B427" s="360"/>
      <c r="C427" s="360" t="s">
        <v>389</v>
      </c>
      <c r="D427" s="357" t="s">
        <v>390</v>
      </c>
      <c r="E427" s="360" t="s">
        <v>107</v>
      </c>
      <c r="F427" s="475">
        <v>0.2</v>
      </c>
      <c r="G427" s="360">
        <v>1.77</v>
      </c>
      <c r="H427" s="388">
        <f t="shared" ref="H427:H433" si="32">F427*G427</f>
        <v>0.35400000000000004</v>
      </c>
    </row>
    <row r="428" spans="1:8" ht="41.25" customHeight="1" x14ac:dyDescent="0.25">
      <c r="A428" s="360"/>
      <c r="B428" s="360"/>
      <c r="C428" s="360" t="s">
        <v>466</v>
      </c>
      <c r="D428" s="357" t="s">
        <v>467</v>
      </c>
      <c r="E428" s="360" t="s">
        <v>107</v>
      </c>
      <c r="F428" s="475">
        <v>0.25</v>
      </c>
      <c r="G428" s="360">
        <v>7.76</v>
      </c>
      <c r="H428" s="388">
        <f t="shared" si="32"/>
        <v>1.94</v>
      </c>
    </row>
    <row r="429" spans="1:8" ht="25.5" customHeight="1" x14ac:dyDescent="0.25">
      <c r="A429" s="360"/>
      <c r="B429" s="360"/>
      <c r="C429" s="360" t="s">
        <v>468</v>
      </c>
      <c r="D429" s="357" t="s">
        <v>469</v>
      </c>
      <c r="E429" s="360" t="s">
        <v>184</v>
      </c>
      <c r="F429" s="475">
        <v>1.1279999999999999</v>
      </c>
      <c r="G429" s="360">
        <v>1.77</v>
      </c>
      <c r="H429" s="388">
        <f t="shared" si="32"/>
        <v>1.9965599999999999</v>
      </c>
    </row>
    <row r="430" spans="1:8" x14ac:dyDescent="0.25">
      <c r="A430" s="360"/>
      <c r="B430" s="360"/>
      <c r="C430" s="360" t="s">
        <v>367</v>
      </c>
      <c r="D430" s="357" t="s">
        <v>368</v>
      </c>
      <c r="E430" s="360" t="s">
        <v>109</v>
      </c>
      <c r="F430" s="475">
        <v>0.1</v>
      </c>
      <c r="G430" s="360">
        <v>18.71</v>
      </c>
      <c r="H430" s="388">
        <f t="shared" si="32"/>
        <v>1.8710000000000002</v>
      </c>
    </row>
    <row r="431" spans="1:8" x14ac:dyDescent="0.25">
      <c r="A431" s="360"/>
      <c r="B431" s="360"/>
      <c r="C431" s="360">
        <f>C13</f>
        <v>88309</v>
      </c>
      <c r="D431" s="357" t="s">
        <v>470</v>
      </c>
      <c r="E431" s="360" t="s">
        <v>109</v>
      </c>
      <c r="F431" s="475">
        <v>0.2</v>
      </c>
      <c r="G431" s="360">
        <f>F13</f>
        <v>25.06</v>
      </c>
      <c r="H431" s="388">
        <f t="shared" si="32"/>
        <v>5.0120000000000005</v>
      </c>
    </row>
    <row r="432" spans="1:8" x14ac:dyDescent="0.25">
      <c r="A432" s="360"/>
      <c r="B432" s="360"/>
      <c r="C432" s="360">
        <f>C14</f>
        <v>88316</v>
      </c>
      <c r="D432" s="357" t="str">
        <f>D14</f>
        <v>SERVENTE COM ENCARGOS COMPLEMENTARES</v>
      </c>
      <c r="E432" s="360" t="s">
        <v>109</v>
      </c>
      <c r="F432" s="475">
        <v>0.2</v>
      </c>
      <c r="G432" s="360">
        <f>F14</f>
        <v>17.37</v>
      </c>
      <c r="H432" s="388">
        <f t="shared" si="32"/>
        <v>3.4740000000000002</v>
      </c>
    </row>
    <row r="433" spans="1:8" ht="47.25" x14ac:dyDescent="0.25">
      <c r="A433" s="360"/>
      <c r="B433" s="360"/>
      <c r="C433" s="360" t="s">
        <v>471</v>
      </c>
      <c r="D433" s="357" t="s">
        <v>472</v>
      </c>
      <c r="E433" s="360" t="s">
        <v>188</v>
      </c>
      <c r="F433" s="475">
        <v>0.12130000000000001</v>
      </c>
      <c r="G433" s="360">
        <v>415.48</v>
      </c>
      <c r="H433" s="388">
        <f t="shared" si="32"/>
        <v>50.397724000000004</v>
      </c>
    </row>
    <row r="434" spans="1:8" x14ac:dyDescent="0.25">
      <c r="G434" s="366" t="s">
        <v>11</v>
      </c>
      <c r="H434" s="377">
        <f>SUM(H426:H433)</f>
        <v>130.80670000000001</v>
      </c>
    </row>
    <row r="437" spans="1:8" ht="48.75" customHeight="1" x14ac:dyDescent="0.25">
      <c r="A437" s="358" t="s">
        <v>234</v>
      </c>
      <c r="B437" s="358"/>
      <c r="C437" s="358" t="s">
        <v>183</v>
      </c>
      <c r="D437" s="359" t="str">
        <f>SERVIÇOS!C100</f>
        <v>APLICAÇÃO DE LONA PLÁSTICA PARA EXECUÇÃO DE PAVIMENTOS DE CONCRETO</v>
      </c>
      <c r="E437" s="358" t="s">
        <v>184</v>
      </c>
      <c r="F437" s="358" t="s">
        <v>117</v>
      </c>
      <c r="G437" s="358" t="s">
        <v>118</v>
      </c>
      <c r="H437" s="358" t="s">
        <v>119</v>
      </c>
    </row>
    <row r="438" spans="1:8" x14ac:dyDescent="0.25">
      <c r="A438" s="360"/>
      <c r="B438" s="360"/>
      <c r="C438" s="360">
        <v>3777</v>
      </c>
      <c r="D438" s="357" t="s">
        <v>299</v>
      </c>
      <c r="E438" s="360" t="s">
        <v>184</v>
      </c>
      <c r="F438" s="475">
        <v>1</v>
      </c>
      <c r="G438" s="389">
        <v>1.5</v>
      </c>
      <c r="H438" s="388">
        <f>F438*G438</f>
        <v>1.5</v>
      </c>
    </row>
    <row r="439" spans="1:8" x14ac:dyDescent="0.25">
      <c r="A439" s="360"/>
      <c r="B439" s="360"/>
      <c r="C439" s="360">
        <f>C14</f>
        <v>88316</v>
      </c>
      <c r="D439" s="357" t="str">
        <f>D14</f>
        <v>SERVENTE COM ENCARGOS COMPLEMENTARES</v>
      </c>
      <c r="E439" s="360"/>
      <c r="F439" s="475">
        <v>1E-3</v>
      </c>
      <c r="G439" s="389">
        <f>F14</f>
        <v>17.37</v>
      </c>
      <c r="H439" s="388">
        <f t="shared" ref="H439:H440" si="33">F439*G439</f>
        <v>1.737E-2</v>
      </c>
    </row>
    <row r="440" spans="1:8" x14ac:dyDescent="0.25">
      <c r="A440" s="360"/>
      <c r="B440" s="360"/>
      <c r="C440" s="360"/>
      <c r="D440" s="357"/>
      <c r="E440" s="360"/>
      <c r="F440" s="475"/>
      <c r="G440" s="389"/>
      <c r="H440" s="388">
        <f t="shared" si="33"/>
        <v>0</v>
      </c>
    </row>
    <row r="441" spans="1:8" x14ac:dyDescent="0.25">
      <c r="G441" s="366" t="s">
        <v>11</v>
      </c>
      <c r="H441" s="377">
        <f>SUM(H438:H440)</f>
        <v>1.5173700000000001</v>
      </c>
    </row>
    <row r="444" spans="1:8" ht="80.25" customHeight="1" x14ac:dyDescent="0.25">
      <c r="A444" s="358" t="s">
        <v>237</v>
      </c>
      <c r="B444" s="358"/>
      <c r="C444" s="358" t="s">
        <v>183</v>
      </c>
      <c r="D444" s="359" t="str">
        <f>SERVIÇOS!C105</f>
        <v>DUTO CORRUGADO FLEXÍVEL EM PEAD Ø = 4, TIPO KANALEX OU SIMILAR, LANÇADO DIRETAMENTE NO SOLO, EXCLUSIVE ESCAVAÇÃO E REATERRO</v>
      </c>
      <c r="E444" s="358" t="s">
        <v>184</v>
      </c>
      <c r="F444" s="358" t="s">
        <v>117</v>
      </c>
      <c r="G444" s="358" t="s">
        <v>118</v>
      </c>
      <c r="H444" s="358" t="s">
        <v>119</v>
      </c>
    </row>
    <row r="445" spans="1:8" ht="31.5" x14ac:dyDescent="0.25">
      <c r="A445" s="360"/>
      <c r="B445" s="360"/>
      <c r="C445" s="360" t="s">
        <v>476</v>
      </c>
      <c r="D445" s="357" t="s">
        <v>477</v>
      </c>
      <c r="E445" s="360" t="s">
        <v>107</v>
      </c>
      <c r="F445" s="475">
        <v>1.0149999999999999</v>
      </c>
      <c r="G445" s="389">
        <v>57.69</v>
      </c>
      <c r="H445" s="388">
        <f t="shared" ref="H445:H446" si="34">F445*G445</f>
        <v>58.55534999999999</v>
      </c>
    </row>
    <row r="446" spans="1:8" x14ac:dyDescent="0.25">
      <c r="A446" s="360"/>
      <c r="B446" s="360"/>
      <c r="C446" s="360">
        <f>C14</f>
        <v>88316</v>
      </c>
      <c r="D446" s="357" t="str">
        <f>D14</f>
        <v>SERVENTE COM ENCARGOS COMPLEMENTARES</v>
      </c>
      <c r="E446" s="360" t="s">
        <v>109</v>
      </c>
      <c r="F446" s="475">
        <v>0.2</v>
      </c>
      <c r="G446" s="389">
        <f>F14</f>
        <v>17.37</v>
      </c>
      <c r="H446" s="388">
        <f t="shared" si="34"/>
        <v>3.4740000000000002</v>
      </c>
    </row>
    <row r="447" spans="1:8" x14ac:dyDescent="0.25">
      <c r="A447" s="360"/>
      <c r="B447" s="360"/>
      <c r="C447" s="360"/>
      <c r="D447" s="357"/>
      <c r="E447" s="360"/>
      <c r="F447" s="475"/>
      <c r="G447" s="389"/>
      <c r="H447" s="388"/>
    </row>
    <row r="448" spans="1:8" x14ac:dyDescent="0.25">
      <c r="G448" s="366" t="s">
        <v>11</v>
      </c>
      <c r="H448" s="377">
        <f>SUM(H445:H446)</f>
        <v>62.029349999999994</v>
      </c>
    </row>
    <row r="451" spans="1:8" ht="92.25" customHeight="1" x14ac:dyDescent="0.25">
      <c r="A451" s="358" t="s">
        <v>238</v>
      </c>
      <c r="B451" s="358"/>
      <c r="C451" s="358" t="s">
        <v>183</v>
      </c>
      <c r="D451" s="359" t="str">
        <f>SERVIÇOS!C106</f>
        <v>DUTO CORRUGADO FLEXÍVEL EM PEAD Ø = 3, TIPO KANALEX OU SIMILAR, LANÇADO DIRETAMENTE NO SOLO, EXCLUSIVE ESCAVAÇÃO E REATERRO</v>
      </c>
      <c r="E451" s="358" t="s">
        <v>184</v>
      </c>
      <c r="F451" s="358" t="s">
        <v>117</v>
      </c>
      <c r="G451" s="358" t="s">
        <v>118</v>
      </c>
      <c r="H451" s="358" t="s">
        <v>119</v>
      </c>
    </row>
    <row r="452" spans="1:8" x14ac:dyDescent="0.25">
      <c r="A452" s="360"/>
      <c r="B452" s="360"/>
      <c r="C452" s="360">
        <f>C14</f>
        <v>88316</v>
      </c>
      <c r="D452" s="357" t="str">
        <f>D14</f>
        <v>SERVENTE COM ENCARGOS COMPLEMENTARES</v>
      </c>
      <c r="E452" s="360" t="s">
        <v>109</v>
      </c>
      <c r="F452" s="475">
        <v>0.2</v>
      </c>
      <c r="G452" s="389">
        <f>F14</f>
        <v>17.37</v>
      </c>
      <c r="H452" s="388">
        <f t="shared" ref="H452:H453" si="35">F452*G452</f>
        <v>3.4740000000000002</v>
      </c>
    </row>
    <row r="453" spans="1:8" ht="47.25" x14ac:dyDescent="0.25">
      <c r="A453" s="360"/>
      <c r="B453" s="360"/>
      <c r="C453" s="360" t="s">
        <v>479</v>
      </c>
      <c r="D453" s="357" t="s">
        <v>478</v>
      </c>
      <c r="E453" s="360" t="s">
        <v>107</v>
      </c>
      <c r="F453" s="475">
        <v>1.0149999999999999</v>
      </c>
      <c r="G453" s="389">
        <v>8.26</v>
      </c>
      <c r="H453" s="388">
        <f t="shared" si="35"/>
        <v>8.3838999999999988</v>
      </c>
    </row>
    <row r="454" spans="1:8" x14ac:dyDescent="0.25">
      <c r="A454" s="360"/>
      <c r="B454" s="360"/>
      <c r="C454" s="360"/>
      <c r="D454" s="357"/>
      <c r="E454" s="360"/>
      <c r="F454" s="475"/>
      <c r="G454" s="389"/>
      <c r="H454" s="388"/>
    </row>
    <row r="455" spans="1:8" x14ac:dyDescent="0.25">
      <c r="G455" s="366" t="s">
        <v>11</v>
      </c>
      <c r="H455" s="377">
        <f>SUM(H452:H453)</f>
        <v>11.857899999999999</v>
      </c>
    </row>
    <row r="458" spans="1:8" ht="53.25" customHeight="1" x14ac:dyDescent="0.25">
      <c r="A458" s="358" t="s">
        <v>480</v>
      </c>
      <c r="B458" s="358"/>
      <c r="C458" s="358" t="s">
        <v>183</v>
      </c>
      <c r="D458" s="359" t="str">
        <f>SERVIÇOS!C108</f>
        <v>CAIXA DE PASSAGEM EM ALVENARIA DE TIJOLOS MACIÇOS ESP. = 0,12M, DIM. INT. = 0.40 X 0.40 X 0.40M</v>
      </c>
      <c r="E458" s="358" t="s">
        <v>184</v>
      </c>
      <c r="F458" s="358" t="s">
        <v>117</v>
      </c>
      <c r="G458" s="358" t="s">
        <v>118</v>
      </c>
      <c r="H458" s="358" t="s">
        <v>119</v>
      </c>
    </row>
    <row r="459" spans="1:8" x14ac:dyDescent="0.25">
      <c r="A459" s="360"/>
      <c r="B459" s="360"/>
      <c r="C459" s="360" t="s">
        <v>484</v>
      </c>
      <c r="D459" s="357" t="s">
        <v>485</v>
      </c>
      <c r="E459" s="360" t="s">
        <v>184</v>
      </c>
      <c r="F459" s="475">
        <v>1.1000000000000001</v>
      </c>
      <c r="G459" s="389">
        <v>65.349999999999994</v>
      </c>
      <c r="H459" s="388">
        <f>F459*G459</f>
        <v>71.885000000000005</v>
      </c>
    </row>
    <row r="460" spans="1:8" ht="50.25" customHeight="1" x14ac:dyDescent="0.25">
      <c r="A460" s="360"/>
      <c r="B460" s="360"/>
      <c r="C460" s="360" t="s">
        <v>486</v>
      </c>
      <c r="D460" s="357" t="s">
        <v>487</v>
      </c>
      <c r="E460" s="360" t="s">
        <v>188</v>
      </c>
      <c r="F460" s="475">
        <v>7.8100000000000003E-2</v>
      </c>
      <c r="G460" s="389">
        <v>456.33</v>
      </c>
      <c r="H460" s="388">
        <f t="shared" ref="H460:H464" si="36">F460*G460</f>
        <v>35.639372999999999</v>
      </c>
    </row>
    <row r="461" spans="1:8" ht="48" customHeight="1" x14ac:dyDescent="0.25">
      <c r="A461" s="360"/>
      <c r="B461" s="360"/>
      <c r="C461" s="360" t="s">
        <v>488</v>
      </c>
      <c r="D461" s="357" t="s">
        <v>489</v>
      </c>
      <c r="E461" s="360" t="s">
        <v>188</v>
      </c>
      <c r="F461" s="475">
        <v>0.317</v>
      </c>
      <c r="G461" s="389">
        <v>479.63</v>
      </c>
      <c r="H461" s="388">
        <f t="shared" si="36"/>
        <v>152.04271</v>
      </c>
    </row>
    <row r="462" spans="1:8" ht="56.25" customHeight="1" x14ac:dyDescent="0.25">
      <c r="A462" s="360"/>
      <c r="B462" s="360"/>
      <c r="C462" s="360" t="s">
        <v>490</v>
      </c>
      <c r="D462" s="357" t="s">
        <v>491</v>
      </c>
      <c r="E462" s="360" t="s">
        <v>184</v>
      </c>
      <c r="F462" s="475">
        <v>3.8</v>
      </c>
      <c r="G462" s="389">
        <v>146.38</v>
      </c>
      <c r="H462" s="388">
        <f t="shared" si="36"/>
        <v>556.24399999999991</v>
      </c>
    </row>
    <row r="463" spans="1:8" ht="57.75" customHeight="1" x14ac:dyDescent="0.25">
      <c r="A463" s="360"/>
      <c r="B463" s="360"/>
      <c r="C463" s="360" t="s">
        <v>492</v>
      </c>
      <c r="D463" s="357" t="s">
        <v>493</v>
      </c>
      <c r="E463" s="360" t="s">
        <v>184</v>
      </c>
      <c r="F463" s="475">
        <v>3.77</v>
      </c>
      <c r="G463" s="389">
        <v>27.22</v>
      </c>
      <c r="H463" s="388">
        <f t="shared" si="36"/>
        <v>102.6194</v>
      </c>
    </row>
    <row r="464" spans="1:8" ht="48" customHeight="1" x14ac:dyDescent="0.25">
      <c r="A464" s="360"/>
      <c r="B464" s="360"/>
      <c r="C464" s="360" t="s">
        <v>494</v>
      </c>
      <c r="D464" s="357" t="s">
        <v>495</v>
      </c>
      <c r="E464" s="360" t="s">
        <v>184</v>
      </c>
      <c r="F464" s="475">
        <v>3.77</v>
      </c>
      <c r="G464" s="389">
        <v>5.34</v>
      </c>
      <c r="H464" s="388">
        <f t="shared" si="36"/>
        <v>20.131799999999998</v>
      </c>
    </row>
    <row r="465" spans="1:8" x14ac:dyDescent="0.25">
      <c r="G465" s="366" t="s">
        <v>11</v>
      </c>
      <c r="H465" s="377">
        <f>SUM(H459:H464)</f>
        <v>938.56228299999998</v>
      </c>
    </row>
    <row r="469" spans="1:8" ht="52.5" customHeight="1" x14ac:dyDescent="0.25">
      <c r="A469" s="358" t="s">
        <v>545</v>
      </c>
      <c r="B469" s="358"/>
      <c r="C469" s="358" t="s">
        <v>183</v>
      </c>
      <c r="D469" s="359" t="str">
        <f>SERVIÇOS!C129</f>
        <v>LÂMPADA TUBULAR LED DE 18/20 W, BASE G13 - FORNECIMENTO E INSTALAÇÃO.</v>
      </c>
      <c r="E469" s="358" t="s">
        <v>2</v>
      </c>
      <c r="F469" s="358" t="s">
        <v>117</v>
      </c>
      <c r="G469" s="358" t="s">
        <v>118</v>
      </c>
      <c r="H469" s="358" t="s">
        <v>119</v>
      </c>
    </row>
    <row r="470" spans="1:8" x14ac:dyDescent="0.25">
      <c r="A470" s="360"/>
      <c r="B470" s="360"/>
      <c r="C470" s="360" t="s">
        <v>546</v>
      </c>
      <c r="D470" s="357" t="s">
        <v>547</v>
      </c>
      <c r="E470" s="360" t="s">
        <v>2</v>
      </c>
      <c r="F470" s="475">
        <v>1</v>
      </c>
      <c r="G470" s="389">
        <v>17.16</v>
      </c>
      <c r="H470" s="388">
        <f t="shared" ref="H470:H471" si="37">F470*G470</f>
        <v>17.16</v>
      </c>
    </row>
    <row r="471" spans="1:8" x14ac:dyDescent="0.25">
      <c r="A471" s="360"/>
      <c r="B471" s="360"/>
      <c r="C471" s="360" t="s">
        <v>548</v>
      </c>
      <c r="D471" s="357" t="s">
        <v>549</v>
      </c>
      <c r="E471" s="360" t="s">
        <v>2</v>
      </c>
      <c r="F471" s="475">
        <v>2</v>
      </c>
      <c r="G471" s="389">
        <v>3.65</v>
      </c>
      <c r="H471" s="388">
        <f t="shared" si="37"/>
        <v>7.3</v>
      </c>
    </row>
    <row r="472" spans="1:8" x14ac:dyDescent="0.25">
      <c r="A472" s="360"/>
      <c r="B472" s="360"/>
      <c r="C472" s="360"/>
      <c r="D472" s="357"/>
      <c r="E472" s="360"/>
      <c r="F472" s="475"/>
      <c r="G472" s="389"/>
      <c r="H472" s="388"/>
    </row>
    <row r="473" spans="1:8" x14ac:dyDescent="0.25">
      <c r="G473" s="366" t="s">
        <v>11</v>
      </c>
      <c r="H473" s="377">
        <f>SUM(H470:H471)</f>
        <v>24.46</v>
      </c>
    </row>
    <row r="476" spans="1:8" ht="34.5" customHeight="1" x14ac:dyDescent="0.25">
      <c r="A476" s="358" t="s">
        <v>569</v>
      </c>
      <c r="B476" s="358"/>
      <c r="C476" s="358" t="s">
        <v>183</v>
      </c>
      <c r="D476" s="359" t="str">
        <f>SERVIÇOS!C137</f>
        <v>MOLDAGEM DE CORPO DE PROVA</v>
      </c>
      <c r="E476" s="358" t="s">
        <v>2</v>
      </c>
      <c r="F476" s="358" t="s">
        <v>117</v>
      </c>
      <c r="G476" s="358" t="s">
        <v>118</v>
      </c>
      <c r="H476" s="358" t="s">
        <v>119</v>
      </c>
    </row>
    <row r="477" spans="1:8" ht="29.25" customHeight="1" x14ac:dyDescent="0.25">
      <c r="A477" s="360"/>
      <c r="B477" s="360"/>
      <c r="C477" s="360" t="s">
        <v>572</v>
      </c>
      <c r="D477" s="357" t="s">
        <v>571</v>
      </c>
      <c r="E477" s="360" t="s">
        <v>109</v>
      </c>
      <c r="F477" s="475">
        <v>0.1</v>
      </c>
      <c r="G477" s="389">
        <v>24.09</v>
      </c>
      <c r="H477" s="388">
        <f t="shared" ref="H477" si="38">F477*G477</f>
        <v>2.4090000000000003</v>
      </c>
    </row>
    <row r="478" spans="1:8" x14ac:dyDescent="0.25">
      <c r="G478" s="366" t="s">
        <v>11</v>
      </c>
      <c r="H478" s="377">
        <f>SUM(H477:H477)</f>
        <v>2.4090000000000003</v>
      </c>
    </row>
    <row r="481" spans="1:8" ht="61.5" customHeight="1" x14ac:dyDescent="0.25">
      <c r="A481" s="358" t="s">
        <v>574</v>
      </c>
      <c r="B481" s="358"/>
      <c r="C481" s="358" t="s">
        <v>183</v>
      </c>
      <c r="D481" s="359" t="str">
        <f>SERVIÇOS!C140</f>
        <v>FORNECIMENTO E INSTALAÇÃO DE GABINETE DE VENTILAÇÃO CONFORME ESPECIFICAÇÃO</v>
      </c>
      <c r="E481" s="358" t="s">
        <v>2</v>
      </c>
      <c r="F481" s="358" t="s">
        <v>117</v>
      </c>
      <c r="G481" s="358" t="s">
        <v>118</v>
      </c>
      <c r="H481" s="358" t="s">
        <v>119</v>
      </c>
    </row>
    <row r="482" spans="1:8" ht="31.5" x14ac:dyDescent="0.25">
      <c r="A482" s="360"/>
      <c r="B482" s="360"/>
      <c r="C482" s="360" t="s">
        <v>577</v>
      </c>
      <c r="D482" s="357" t="s">
        <v>576</v>
      </c>
      <c r="E482" s="360" t="s">
        <v>2</v>
      </c>
      <c r="F482" s="475">
        <v>1</v>
      </c>
      <c r="G482" s="389">
        <v>2581.34</v>
      </c>
      <c r="H482" s="388">
        <f>F482*G482</f>
        <v>2581.34</v>
      </c>
    </row>
    <row r="483" spans="1:8" x14ac:dyDescent="0.25">
      <c r="A483" s="360"/>
      <c r="B483" s="360"/>
      <c r="C483" s="360" t="s">
        <v>551</v>
      </c>
      <c r="D483" s="357" t="s">
        <v>552</v>
      </c>
      <c r="E483" s="360" t="s">
        <v>109</v>
      </c>
      <c r="F483" s="475">
        <v>2.5</v>
      </c>
      <c r="G483" s="389">
        <v>25.27</v>
      </c>
      <c r="H483" s="388">
        <f t="shared" ref="H483:H484" si="39">F483*G483</f>
        <v>63.174999999999997</v>
      </c>
    </row>
    <row r="484" spans="1:8" ht="31.5" x14ac:dyDescent="0.25">
      <c r="A484" s="360"/>
      <c r="B484" s="360"/>
      <c r="C484" s="360">
        <f>C15</f>
        <v>88247</v>
      </c>
      <c r="D484" s="357" t="str">
        <f>D15</f>
        <v>AUXILIAR DE ELETRICISTA COM ENCARGOS COMPLEMENTARES</v>
      </c>
      <c r="E484" s="360" t="s">
        <v>109</v>
      </c>
      <c r="F484" s="475">
        <v>2.5</v>
      </c>
      <c r="G484" s="389">
        <f>F15</f>
        <v>19.71</v>
      </c>
      <c r="H484" s="388">
        <f t="shared" si="39"/>
        <v>49.275000000000006</v>
      </c>
    </row>
    <row r="485" spans="1:8" x14ac:dyDescent="0.25">
      <c r="G485" s="366" t="s">
        <v>11</v>
      </c>
      <c r="H485" s="377">
        <f>SUM(H482:H484)</f>
        <v>2693.7900000000004</v>
      </c>
    </row>
    <row r="487" spans="1:8" ht="29.25" customHeight="1" x14ac:dyDescent="0.25">
      <c r="A487" s="358" t="s">
        <v>135</v>
      </c>
      <c r="B487" s="358"/>
      <c r="C487" s="358" t="s">
        <v>183</v>
      </c>
      <c r="D487" s="359" t="str">
        <f>SERVIÇOS!C142</f>
        <v>REMOÇÃO DE PLACA DE OBRA</v>
      </c>
      <c r="E487" s="358" t="s">
        <v>2</v>
      </c>
      <c r="F487" s="358" t="s">
        <v>117</v>
      </c>
      <c r="G487" s="358" t="s">
        <v>118</v>
      </c>
      <c r="H487" s="358" t="s">
        <v>119</v>
      </c>
    </row>
    <row r="488" spans="1:8" ht="29.25" customHeight="1" x14ac:dyDescent="0.25">
      <c r="A488" s="360"/>
      <c r="B488" s="360"/>
      <c r="C488" s="360">
        <f>C14</f>
        <v>88316</v>
      </c>
      <c r="D488" s="357" t="str">
        <f>D14</f>
        <v>SERVENTE COM ENCARGOS COMPLEMENTARES</v>
      </c>
      <c r="E488" s="360" t="s">
        <v>109</v>
      </c>
      <c r="F488" s="475">
        <v>0.5</v>
      </c>
      <c r="G488" s="389">
        <f>F14</f>
        <v>17.37</v>
      </c>
      <c r="H488" s="388">
        <f t="shared" ref="H488" si="40">F488*G488</f>
        <v>8.6850000000000005</v>
      </c>
    </row>
    <row r="489" spans="1:8" x14ac:dyDescent="0.25">
      <c r="G489" s="366" t="s">
        <v>11</v>
      </c>
      <c r="H489" s="377">
        <f>SUM(H488:H488)</f>
        <v>8.6850000000000005</v>
      </c>
    </row>
    <row r="494" spans="1:8" ht="45.75" customHeight="1" x14ac:dyDescent="0.25">
      <c r="A494" s="358" t="s">
        <v>156</v>
      </c>
      <c r="B494" s="358"/>
      <c r="C494" s="358" t="s">
        <v>183</v>
      </c>
      <c r="D494" s="359" t="str">
        <f>SERVIÇOS!C145</f>
        <v>TRANSPORTE HORIZONTAL DE MATERIAIS E INSUMOS DIVERSOS</v>
      </c>
      <c r="E494" s="358" t="s">
        <v>2</v>
      </c>
      <c r="F494" s="358" t="s">
        <v>117</v>
      </c>
      <c r="G494" s="358" t="s">
        <v>118</v>
      </c>
      <c r="H494" s="358" t="s">
        <v>119</v>
      </c>
    </row>
    <row r="495" spans="1:8" x14ac:dyDescent="0.25">
      <c r="A495" s="360"/>
      <c r="B495" s="360"/>
      <c r="C495" s="360">
        <f>C14</f>
        <v>88316</v>
      </c>
      <c r="D495" s="357" t="str">
        <f>D14</f>
        <v>SERVENTE COM ENCARGOS COMPLEMENTARES</v>
      </c>
      <c r="E495" s="360" t="s">
        <v>109</v>
      </c>
      <c r="F495" s="475">
        <v>1.5</v>
      </c>
      <c r="G495" s="389">
        <f>F14</f>
        <v>17.37</v>
      </c>
      <c r="H495" s="388">
        <f t="shared" ref="H495" si="41">F495*G495</f>
        <v>26.055</v>
      </c>
    </row>
    <row r="496" spans="1:8" x14ac:dyDescent="0.25">
      <c r="G496" s="366" t="s">
        <v>11</v>
      </c>
      <c r="H496" s="377">
        <f>SUM(H495:H495)</f>
        <v>26.055</v>
      </c>
    </row>
    <row r="499" spans="1:8" ht="36" customHeight="1" x14ac:dyDescent="0.25">
      <c r="A499" s="358" t="s">
        <v>157</v>
      </c>
      <c r="B499" s="358"/>
      <c r="C499" s="358" t="s">
        <v>183</v>
      </c>
      <c r="D499" s="359" t="str">
        <f>SERVIÇOS!C146</f>
        <v>CARGA MANUAL DE MATERIAL DE SEGUNDA CATEGORIA</v>
      </c>
      <c r="E499" s="358" t="s">
        <v>2</v>
      </c>
      <c r="F499" s="358" t="s">
        <v>117</v>
      </c>
      <c r="G499" s="358" t="s">
        <v>118</v>
      </c>
      <c r="H499" s="358" t="s">
        <v>119</v>
      </c>
    </row>
    <row r="500" spans="1:8" x14ac:dyDescent="0.25">
      <c r="A500" s="360"/>
      <c r="B500" s="360"/>
      <c r="C500" s="360">
        <f>C14</f>
        <v>88316</v>
      </c>
      <c r="D500" s="357" t="str">
        <f>D14</f>
        <v>SERVENTE COM ENCARGOS COMPLEMENTARES</v>
      </c>
      <c r="E500" s="360" t="s">
        <v>109</v>
      </c>
      <c r="F500" s="475">
        <v>0.5</v>
      </c>
      <c r="G500" s="389">
        <f>F14</f>
        <v>17.37</v>
      </c>
      <c r="H500" s="388">
        <f t="shared" ref="H500" si="42">F500*G500</f>
        <v>8.6850000000000005</v>
      </c>
    </row>
    <row r="501" spans="1:8" x14ac:dyDescent="0.25">
      <c r="G501" s="366" t="s">
        <v>11</v>
      </c>
      <c r="H501" s="377">
        <f>SUM(H500:H500)</f>
        <v>8.6850000000000005</v>
      </c>
    </row>
  </sheetData>
  <mergeCells count="17">
    <mergeCell ref="B190:H190"/>
    <mergeCell ref="B21:H21"/>
    <mergeCell ref="B83:H83"/>
    <mergeCell ref="B91:H91"/>
    <mergeCell ref="A11:H11"/>
    <mergeCell ref="A1:E1"/>
    <mergeCell ref="A2:E2"/>
    <mergeCell ref="A3:E3"/>
    <mergeCell ref="E5:F5"/>
    <mergeCell ref="A6:D6"/>
    <mergeCell ref="E6:F6"/>
    <mergeCell ref="A7:C7"/>
    <mergeCell ref="E7:F7"/>
    <mergeCell ref="G7:H7"/>
    <mergeCell ref="A8:D8"/>
    <mergeCell ref="E8:F8"/>
    <mergeCell ref="G8:H8"/>
  </mergeCells>
  <phoneticPr fontId="41" type="noConversion"/>
  <conditionalFormatting sqref="D24:D26 C30:D30 D16 G206:H206 D218:D219 C247:D247 C311:D318 C322:D326 C41:D42 C53:D54 C79:D80 C47:D48 C65:D65 C121:D123 C130:D135 C141:D145 C151:D153 C157:D158 C174:D178 H195:H202 C206:D206 C211:D213 G211:H213 G218:H219 G231:H235 C231:D235 C239:D243 C273:D277 G274:H277 C282:D286 C292:D296 C301:D305 G301:H305 G311:H318 G292:H296 G283:H286 H261:H268 H323:H326 C14:C16 E14:F16 C361:D366 G361:H366 G445:H447 G477:H477 C477:D477 C261:D268 F255:F268 G459:H464 C459:D464">
    <cfRule type="expression" dxfId="324" priority="2499" stopIfTrue="1">
      <formula>AND($A14&lt;&gt;"COMPOSICAO",$A14&lt;&gt;"INSUMO",$A14&lt;&gt;"")</formula>
    </cfRule>
    <cfRule type="expression" dxfId="323" priority="2500" stopIfTrue="1">
      <formula>AND(OR($A14="COMPOSICAO",$A14="INSUMO",$A14&lt;&gt;""),$A14&lt;&gt;"")</formula>
    </cfRule>
  </conditionalFormatting>
  <conditionalFormatting sqref="F23:H23">
    <cfRule type="expression" dxfId="322" priority="2497" stopIfTrue="1">
      <formula>AND($A23&lt;&gt;"COMPOSICAO",$A23&lt;&gt;"INSUMO",$A23&lt;&gt;"")</formula>
    </cfRule>
    <cfRule type="expression" dxfId="321" priority="2498" stopIfTrue="1">
      <formula>AND(OR($A23="COMPOSICAO",$A23="INSUMO",$A23&lt;&gt;""),$A23&lt;&gt;"")</formula>
    </cfRule>
  </conditionalFormatting>
  <conditionalFormatting sqref="C24:C26">
    <cfRule type="expression" dxfId="320" priority="2227" stopIfTrue="1">
      <formula>AND($A24&lt;&gt;"COMPOSICAO",$A24&lt;&gt;"INSUMO",$A24&lt;&gt;"")</formula>
    </cfRule>
    <cfRule type="expression" dxfId="319" priority="2228" stopIfTrue="1">
      <formula>AND(OR($A24="COMPOSICAO",$A24="INSUMO",$A24&lt;&gt;""),$A24&lt;&gt;"")</formula>
    </cfRule>
  </conditionalFormatting>
  <conditionalFormatting sqref="C13:E13 D14">
    <cfRule type="expression" dxfId="318" priority="1993" stopIfTrue="1">
      <formula>AND($A13&lt;&gt;"COMPOSICAO",$A13&lt;&gt;"INSUMO",$A13&lt;&gt;"")</formula>
    </cfRule>
    <cfRule type="expression" dxfId="317" priority="1994" stopIfTrue="1">
      <formula>AND(OR($A13="COMPOSICAO",$A13="INSUMO",$A13&lt;&gt;""),$A13&lt;&gt;"")</formula>
    </cfRule>
  </conditionalFormatting>
  <conditionalFormatting sqref="D15">
    <cfRule type="expression" dxfId="316" priority="1987" stopIfTrue="1">
      <formula>AND($A15&lt;&gt;"COMPOSICAO",$A15&lt;&gt;"INSUMO",$A15&lt;&gt;"")</formula>
    </cfRule>
    <cfRule type="expression" dxfId="315" priority="1988" stopIfTrue="1">
      <formula>AND(OR($A15="COMPOSICAO",$A15="INSUMO",$A15&lt;&gt;""),$A15&lt;&gt;"")</formula>
    </cfRule>
  </conditionalFormatting>
  <conditionalFormatting sqref="F13">
    <cfRule type="expression" dxfId="314" priority="1421" stopIfTrue="1">
      <formula>AND($A13&lt;&gt;"COMPOSICAO",$A13&lt;&gt;"INSUMO",$A13&lt;&gt;"")</formula>
    </cfRule>
    <cfRule type="expression" dxfId="313" priority="1422" stopIfTrue="1">
      <formula>AND(OR($A13="COMPOSICAO",$A13="INSUMO",$A13&lt;&gt;""),$A13&lt;&gt;"")</formula>
    </cfRule>
  </conditionalFormatting>
  <conditionalFormatting sqref="F29:H29">
    <cfRule type="expression" dxfId="312" priority="1415" stopIfTrue="1">
      <formula>AND($A29&lt;&gt;"COMPOSICAO",$A29&lt;&gt;"INSUMO",$A29&lt;&gt;"")</formula>
    </cfRule>
    <cfRule type="expression" dxfId="311" priority="1416" stopIfTrue="1">
      <formula>AND(OR($A29="COMPOSICAO",$A29="INSUMO",$A29&lt;&gt;""),$A29&lt;&gt;"")</formula>
    </cfRule>
  </conditionalFormatting>
  <conditionalFormatting sqref="D31:D36">
    <cfRule type="expression" dxfId="310" priority="1411" stopIfTrue="1">
      <formula>AND($A31&lt;&gt;"COMPOSICAO",$A31&lt;&gt;"INSUMO",$A31&lt;&gt;"")</formula>
    </cfRule>
    <cfRule type="expression" dxfId="309" priority="1412" stopIfTrue="1">
      <formula>AND(OR($A31="COMPOSICAO",$A31="INSUMO",$A31&lt;&gt;""),$A31&lt;&gt;"")</formula>
    </cfRule>
  </conditionalFormatting>
  <conditionalFormatting sqref="F40:H40">
    <cfRule type="expression" dxfId="308" priority="1407" stopIfTrue="1">
      <formula>AND($A40&lt;&gt;"COMPOSICAO",$A40&lt;&gt;"INSUMO",$A40&lt;&gt;"")</formula>
    </cfRule>
    <cfRule type="expression" dxfId="307" priority="1408" stopIfTrue="1">
      <formula>AND(OR($A40="COMPOSICAO",$A40="INSUMO",$A40&lt;&gt;""),$A40&lt;&gt;"")</formula>
    </cfRule>
  </conditionalFormatting>
  <conditionalFormatting sqref="F46:H46">
    <cfRule type="expression" dxfId="306" priority="1377" stopIfTrue="1">
      <formula>AND($A46&lt;&gt;"COMPOSICAO",$A46&lt;&gt;"INSUMO",$A46&lt;&gt;"")</formula>
    </cfRule>
    <cfRule type="expression" dxfId="305" priority="1378" stopIfTrue="1">
      <formula>AND(OR($A46="COMPOSICAO",$A46="INSUMO",$A46&lt;&gt;""),$A46&lt;&gt;"")</formula>
    </cfRule>
  </conditionalFormatting>
  <conditionalFormatting sqref="C74:D75">
    <cfRule type="expression" dxfId="304" priority="1363" stopIfTrue="1">
      <formula>AND($A74&lt;&gt;"COMPOSICAO",$A74&lt;&gt;"INSUMO",$A74&lt;&gt;"")</formula>
    </cfRule>
    <cfRule type="expression" dxfId="303" priority="1364" stopIfTrue="1">
      <formula>AND(OR($A74="COMPOSICAO",$A74="INSUMO",$A74&lt;&gt;""),$A74&lt;&gt;"")</formula>
    </cfRule>
  </conditionalFormatting>
  <conditionalFormatting sqref="C31:C36">
    <cfRule type="expression" dxfId="302" priority="1373" stopIfTrue="1">
      <formula>AND($A31&lt;&gt;"COMPOSICAO",$A31&lt;&gt;"INSUMO",$A31&lt;&gt;"")</formula>
    </cfRule>
    <cfRule type="expression" dxfId="301" priority="1374" stopIfTrue="1">
      <formula>AND(OR($A31="COMPOSICAO",$A31="INSUMO",$A31&lt;&gt;""),$A31&lt;&gt;"")</formula>
    </cfRule>
  </conditionalFormatting>
  <conditionalFormatting sqref="F73:H73">
    <cfRule type="expression" dxfId="300" priority="1369" stopIfTrue="1">
      <formula>AND($A73&lt;&gt;"COMPOSICAO",$A73&lt;&gt;"INSUMO",$A73&lt;&gt;"")</formula>
    </cfRule>
    <cfRule type="expression" dxfId="299" priority="1370" stopIfTrue="1">
      <formula>AND(OR($A73="COMPOSICAO",$A73="INSUMO",$A73&lt;&gt;""),$A73&lt;&gt;"")</formula>
    </cfRule>
  </conditionalFormatting>
  <conditionalFormatting sqref="F105:H105">
    <cfRule type="expression" dxfId="298" priority="1337" stopIfTrue="1">
      <formula>AND($A105&lt;&gt;"COMPOSICAO",$A105&lt;&gt;"INSUMO",$A105&lt;&gt;"")</formula>
    </cfRule>
    <cfRule type="expression" dxfId="297" priority="1338" stopIfTrue="1">
      <formula>AND(OR($A105="COMPOSICAO",$A105="INSUMO",$A105&lt;&gt;""),$A105&lt;&gt;"")</formula>
    </cfRule>
  </conditionalFormatting>
  <conditionalFormatting sqref="E156">
    <cfRule type="expression" dxfId="296" priority="1293" stopIfTrue="1">
      <formula>AND($A156&lt;&gt;"COMPOSICAO",$A156&lt;&gt;"INSUMO",$A156&lt;&gt;"")</formula>
    </cfRule>
    <cfRule type="expression" dxfId="295" priority="1294" stopIfTrue="1">
      <formula>AND(OR($A156="COMPOSICAO",$A156="INSUMO",$A156&lt;&gt;""),$A156&lt;&gt;"")</formula>
    </cfRule>
  </conditionalFormatting>
  <conditionalFormatting sqref="F78:H78">
    <cfRule type="expression" dxfId="294" priority="1361" stopIfTrue="1">
      <formula>AND($A78&lt;&gt;"COMPOSICAO",$A78&lt;&gt;"INSUMO",$A78&lt;&gt;"")</formula>
    </cfRule>
    <cfRule type="expression" dxfId="293" priority="1362" stopIfTrue="1">
      <formula>AND(OR($A78="COMPOSICAO",$A78="INSUMO",$A78&lt;&gt;""),$A78&lt;&gt;"")</formula>
    </cfRule>
  </conditionalFormatting>
  <conditionalFormatting sqref="C87:D87">
    <cfRule type="expression" dxfId="292" priority="1355" stopIfTrue="1">
      <formula>AND($A87&lt;&gt;"COMPOSICAO",$A87&lt;&gt;"INSUMO",$A87&lt;&gt;"")</formula>
    </cfRule>
    <cfRule type="expression" dxfId="291" priority="1356" stopIfTrue="1">
      <formula>AND(OR($A87="COMPOSICAO",$A87="INSUMO",$A87&lt;&gt;""),$A87&lt;&gt;"")</formula>
    </cfRule>
  </conditionalFormatting>
  <conditionalFormatting sqref="F86:H86">
    <cfRule type="expression" dxfId="290" priority="1357" stopIfTrue="1">
      <formula>AND($A86&lt;&gt;"COMPOSICAO",$A86&lt;&gt;"INSUMO",$A86&lt;&gt;"")</formula>
    </cfRule>
    <cfRule type="expression" dxfId="289" priority="1358" stopIfTrue="1">
      <formula>AND(OR($A86="COMPOSICAO",$A86="INSUMO",$A86&lt;&gt;""),$A86&lt;&gt;"")</formula>
    </cfRule>
  </conditionalFormatting>
  <conditionalFormatting sqref="C95:D95">
    <cfRule type="expression" dxfId="288" priority="1351" stopIfTrue="1">
      <formula>AND($A95&lt;&gt;"COMPOSICAO",$A95&lt;&gt;"INSUMO",$A95&lt;&gt;"")</formula>
    </cfRule>
    <cfRule type="expression" dxfId="287" priority="1352" stopIfTrue="1">
      <formula>AND(OR($A95="COMPOSICAO",$A95="INSUMO",$A95&lt;&gt;""),$A95&lt;&gt;"")</formula>
    </cfRule>
  </conditionalFormatting>
  <conditionalFormatting sqref="F94:H94">
    <cfRule type="expression" dxfId="286" priority="1353" stopIfTrue="1">
      <formula>AND($A94&lt;&gt;"COMPOSICAO",$A94&lt;&gt;"INSUMO",$A94&lt;&gt;"")</formula>
    </cfRule>
    <cfRule type="expression" dxfId="285" priority="1354" stopIfTrue="1">
      <formula>AND(OR($A94="COMPOSICAO",$A94="INSUMO",$A94&lt;&gt;""),$A94&lt;&gt;"")</formula>
    </cfRule>
  </conditionalFormatting>
  <conditionalFormatting sqref="C96">
    <cfRule type="expression" dxfId="284" priority="1349" stopIfTrue="1">
      <formula>AND($A96&lt;&gt;"COMPOSICAO",$A96&lt;&gt;"INSUMO",$A96&lt;&gt;"")</formula>
    </cfRule>
    <cfRule type="expression" dxfId="283" priority="1350" stopIfTrue="1">
      <formula>AND(OR($A96="COMPOSICAO",$A96="INSUMO",$A96&lt;&gt;""),$A96&lt;&gt;"")</formula>
    </cfRule>
  </conditionalFormatting>
  <conditionalFormatting sqref="D96">
    <cfRule type="expression" dxfId="282" priority="1347" stopIfTrue="1">
      <formula>AND($A96&lt;&gt;"COMPOSICAO",$A96&lt;&gt;"INSUMO",$A96&lt;&gt;"")</formula>
    </cfRule>
    <cfRule type="expression" dxfId="281" priority="1348" stopIfTrue="1">
      <formula>AND(OR($A96="COMPOSICAO",$A96="INSUMO",$A96&lt;&gt;""),$A96&lt;&gt;"")</formula>
    </cfRule>
  </conditionalFormatting>
  <conditionalFormatting sqref="C101:D101">
    <cfRule type="expression" dxfId="280" priority="1343" stopIfTrue="1">
      <formula>AND($A101&lt;&gt;"COMPOSICAO",$A101&lt;&gt;"INSUMO",$A101&lt;&gt;"")</formula>
    </cfRule>
    <cfRule type="expression" dxfId="279" priority="1344" stopIfTrue="1">
      <formula>AND(OR($A101="COMPOSICAO",$A101="INSUMO",$A101&lt;&gt;""),$A101&lt;&gt;"")</formula>
    </cfRule>
  </conditionalFormatting>
  <conditionalFormatting sqref="F100:H100">
    <cfRule type="expression" dxfId="278" priority="1345" stopIfTrue="1">
      <formula>AND($A100&lt;&gt;"COMPOSICAO",$A100&lt;&gt;"INSUMO",$A100&lt;&gt;"")</formula>
    </cfRule>
    <cfRule type="expression" dxfId="277" priority="1346" stopIfTrue="1">
      <formula>AND(OR($A100="COMPOSICAO",$A100="INSUMO",$A100&lt;&gt;""),$A100&lt;&gt;"")</formula>
    </cfRule>
  </conditionalFormatting>
  <conditionalFormatting sqref="F181:H181">
    <cfRule type="expression" dxfId="276" priority="1297" stopIfTrue="1">
      <formula>AND($A181&lt;&gt;"COMPOSICAO",$A181&lt;&gt;"INSUMO",$A181&lt;&gt;"")</formula>
    </cfRule>
    <cfRule type="expression" dxfId="275" priority="1298" stopIfTrue="1">
      <formula>AND(OR($A181="COMPOSICAO",$A181="INSUMO",$A181&lt;&gt;""),$A181&lt;&gt;"")</formula>
    </cfRule>
  </conditionalFormatting>
  <conditionalFormatting sqref="F110:H110">
    <cfRule type="expression" dxfId="274" priority="1329" stopIfTrue="1">
      <formula>AND($A110&lt;&gt;"COMPOSICAO",$A110&lt;&gt;"INSUMO",$A110&lt;&gt;"")</formula>
    </cfRule>
    <cfRule type="expression" dxfId="273" priority="1330" stopIfTrue="1">
      <formula>AND(OR($A110="COMPOSICAO",$A110="INSUMO",$A110&lt;&gt;""),$A110&lt;&gt;"")</formula>
    </cfRule>
  </conditionalFormatting>
  <conditionalFormatting sqref="F115:H115">
    <cfRule type="expression" dxfId="272" priority="1325" stopIfTrue="1">
      <formula>AND($A115&lt;&gt;"COMPOSICAO",$A115&lt;&gt;"INSUMO",$A115&lt;&gt;"")</formula>
    </cfRule>
    <cfRule type="expression" dxfId="271" priority="1326" stopIfTrue="1">
      <formula>AND(OR($A115="COMPOSICAO",$A115="INSUMO",$A115&lt;&gt;""),$A115&lt;&gt;"")</formula>
    </cfRule>
  </conditionalFormatting>
  <conditionalFormatting sqref="F120:H120">
    <cfRule type="expression" dxfId="270" priority="1321" stopIfTrue="1">
      <formula>AND($A120&lt;&gt;"COMPOSICAO",$A120&lt;&gt;"INSUMO",$A120&lt;&gt;"")</formula>
    </cfRule>
    <cfRule type="expression" dxfId="269" priority="1322" stopIfTrue="1">
      <formula>AND(OR($A120="COMPOSICAO",$A120="INSUMO",$A120&lt;&gt;""),$A120&lt;&gt;"")</formula>
    </cfRule>
  </conditionalFormatting>
  <conditionalFormatting sqref="F127:H127">
    <cfRule type="expression" dxfId="268" priority="1317" stopIfTrue="1">
      <formula>AND($A127&lt;&gt;"COMPOSICAO",$A127&lt;&gt;"INSUMO",$A127&lt;&gt;"")</formula>
    </cfRule>
    <cfRule type="expression" dxfId="267" priority="1318" stopIfTrue="1">
      <formula>AND(OR($A127="COMPOSICAO",$A127="INSUMO",$A127&lt;&gt;""),$A127&lt;&gt;"")</formula>
    </cfRule>
  </conditionalFormatting>
  <conditionalFormatting sqref="C128:D128">
    <cfRule type="expression" dxfId="266" priority="1315" stopIfTrue="1">
      <formula>AND($A128&lt;&gt;"COMPOSICAO",$A128&lt;&gt;"INSUMO",$A128&lt;&gt;"")</formula>
    </cfRule>
    <cfRule type="expression" dxfId="265" priority="1316" stopIfTrue="1">
      <formula>AND(OR($A128="COMPOSICAO",$A128="INSUMO",$A128&lt;&gt;""),$A128&lt;&gt;"")</formula>
    </cfRule>
  </conditionalFormatting>
  <conditionalFormatting sqref="F140:H140">
    <cfRule type="expression" dxfId="264" priority="1313" stopIfTrue="1">
      <formula>AND($A140&lt;&gt;"COMPOSICAO",$A140&lt;&gt;"INSUMO",$A140&lt;&gt;"")</formula>
    </cfRule>
    <cfRule type="expression" dxfId="263" priority="1314" stopIfTrue="1">
      <formula>AND(OR($A140="COMPOSICAO",$A140="INSUMO",$A140&lt;&gt;""),$A140&lt;&gt;"")</formula>
    </cfRule>
  </conditionalFormatting>
  <conditionalFormatting sqref="F150:H150">
    <cfRule type="expression" dxfId="262" priority="1309" stopIfTrue="1">
      <formula>AND($A150&lt;&gt;"COMPOSICAO",$A150&lt;&gt;"INSUMO",$A150&lt;&gt;"")</formula>
    </cfRule>
    <cfRule type="expression" dxfId="261" priority="1310" stopIfTrue="1">
      <formula>AND(OR($A150="COMPOSICAO",$A150="INSUMO",$A150&lt;&gt;""),$A150&lt;&gt;"")</formula>
    </cfRule>
  </conditionalFormatting>
  <conditionalFormatting sqref="F156:H156">
    <cfRule type="expression" dxfId="260" priority="1305" stopIfTrue="1">
      <formula>AND($A156&lt;&gt;"COMPOSICAO",$A156&lt;&gt;"INSUMO",$A156&lt;&gt;"")</formula>
    </cfRule>
    <cfRule type="expression" dxfId="259" priority="1306" stopIfTrue="1">
      <formula>AND(OR($A156="COMPOSICAO",$A156="INSUMO",$A156&lt;&gt;""),$A156&lt;&gt;"")</formula>
    </cfRule>
  </conditionalFormatting>
  <conditionalFormatting sqref="F173:H173">
    <cfRule type="expression" dxfId="258" priority="1301" stopIfTrue="1">
      <formula>AND($A173&lt;&gt;"COMPOSICAO",$A173&lt;&gt;"INSUMO",$A173&lt;&gt;"")</formula>
    </cfRule>
    <cfRule type="expression" dxfId="257" priority="1302" stopIfTrue="1">
      <formula>AND(OR($A173="COMPOSICAO",$A173="INSUMO",$A173&lt;&gt;""),$A173&lt;&gt;"")</formula>
    </cfRule>
  </conditionalFormatting>
  <conditionalFormatting sqref="F193:H193 G194:H194 G195:G198">
    <cfRule type="expression" dxfId="256" priority="1287" stopIfTrue="1">
      <formula>AND($A193&lt;&gt;"COMPOSICAO",$A193&lt;&gt;"INSUMO",$A193&lt;&gt;"")</formula>
    </cfRule>
    <cfRule type="expression" dxfId="255" priority="1288" stopIfTrue="1">
      <formula>AND(OR($A193="COMPOSICAO",$A193="INSUMO",$A193&lt;&gt;""),$A193&lt;&gt;"")</formula>
    </cfRule>
  </conditionalFormatting>
  <conditionalFormatting sqref="C199:D202">
    <cfRule type="expression" dxfId="254" priority="1285" stopIfTrue="1">
      <formula>AND($A199&lt;&gt;"COMPOSICAO",$A199&lt;&gt;"INSUMO",$A199&lt;&gt;"")</formula>
    </cfRule>
    <cfRule type="expression" dxfId="253" priority="1286" stopIfTrue="1">
      <formula>AND(OR($A199="COMPOSICAO",$A199="INSUMO",$A199&lt;&gt;""),$A199&lt;&gt;"")</formula>
    </cfRule>
  </conditionalFormatting>
  <conditionalFormatting sqref="D194:D198">
    <cfRule type="expression" dxfId="252" priority="1279" stopIfTrue="1">
      <formula>AND($A194&lt;&gt;"COMPOSICAO",$A194&lt;&gt;"INSUMO",$A194&lt;&gt;"")</formula>
    </cfRule>
    <cfRule type="expression" dxfId="251" priority="1280" stopIfTrue="1">
      <formula>AND(OR($A194="COMPOSICAO",$A194="INSUMO",$A194&lt;&gt;""),$A194&lt;&gt;"")</formula>
    </cfRule>
  </conditionalFormatting>
  <conditionalFormatting sqref="F205:H205">
    <cfRule type="expression" dxfId="250" priority="1277" stopIfTrue="1">
      <formula>AND($A205&lt;&gt;"COMPOSICAO",$A205&lt;&gt;"INSUMO",$A205&lt;&gt;"")</formula>
    </cfRule>
    <cfRule type="expression" dxfId="249" priority="1278" stopIfTrue="1">
      <formula>AND(OR($A205="COMPOSICAO",$A205="INSUMO",$A205&lt;&gt;""),$A205&lt;&gt;"")</formula>
    </cfRule>
  </conditionalFormatting>
  <conditionalFormatting sqref="F217:H217">
    <cfRule type="expression" dxfId="248" priority="1251" stopIfTrue="1">
      <formula>AND($A217&lt;&gt;"COMPOSICAO",$A217&lt;&gt;"INSUMO",$A217&lt;&gt;"")</formula>
    </cfRule>
    <cfRule type="expression" dxfId="247" priority="1252" stopIfTrue="1">
      <formula>AND(OR($A217="COMPOSICAO",$A217="INSUMO",$A217&lt;&gt;""),$A217&lt;&gt;"")</formula>
    </cfRule>
  </conditionalFormatting>
  <conditionalFormatting sqref="F210:H210">
    <cfRule type="expression" dxfId="246" priority="1263" stopIfTrue="1">
      <formula>AND($A210&lt;&gt;"COMPOSICAO",$A210&lt;&gt;"INSUMO",$A210&lt;&gt;"")</formula>
    </cfRule>
    <cfRule type="expression" dxfId="245" priority="1264" stopIfTrue="1">
      <formula>AND(OR($A210="COMPOSICAO",$A210="INSUMO",$A210&lt;&gt;""),$A210&lt;&gt;"")</formula>
    </cfRule>
  </conditionalFormatting>
  <conditionalFormatting sqref="C218:C219">
    <cfRule type="expression" dxfId="244" priority="1237" stopIfTrue="1">
      <formula>AND($A218&lt;&gt;"COMPOSICAO",$A218&lt;&gt;"INSUMO",$A218&lt;&gt;"")</formula>
    </cfRule>
    <cfRule type="expression" dxfId="243" priority="1238" stopIfTrue="1">
      <formula>AND(OR($A218="COMPOSICAO",$A218="INSUMO",$A218&lt;&gt;""),$A218&lt;&gt;"")</formula>
    </cfRule>
  </conditionalFormatting>
  <conditionalFormatting sqref="C223:C226">
    <cfRule type="expression" dxfId="242" priority="1235" stopIfTrue="1">
      <formula>AND($A223&lt;&gt;"COMPOSICAO",$A223&lt;&gt;"INSUMO",$A223&lt;&gt;"")</formula>
    </cfRule>
    <cfRule type="expression" dxfId="241" priority="1236" stopIfTrue="1">
      <formula>AND(OR($A223="COMPOSICAO",$A223="INSUMO",$A223&lt;&gt;""),$A223&lt;&gt;"")</formula>
    </cfRule>
  </conditionalFormatting>
  <conditionalFormatting sqref="D223:D226 G223:H226">
    <cfRule type="expression" dxfId="240" priority="1233" stopIfTrue="1">
      <formula>AND($A223&lt;&gt;"COMPOSICAO",$A223&lt;&gt;"INSUMO",$A223&lt;&gt;"")</formula>
    </cfRule>
    <cfRule type="expression" dxfId="239" priority="1234" stopIfTrue="1">
      <formula>AND(OR($A223="COMPOSICAO",$A223="INSUMO",$A223&lt;&gt;""),$A223&lt;&gt;"")</formula>
    </cfRule>
  </conditionalFormatting>
  <conditionalFormatting sqref="F222:H222">
    <cfRule type="expression" dxfId="238" priority="1231" stopIfTrue="1">
      <formula>AND($A222&lt;&gt;"COMPOSICAO",$A222&lt;&gt;"INSUMO",$A222&lt;&gt;"")</formula>
    </cfRule>
    <cfRule type="expression" dxfId="237" priority="1232" stopIfTrue="1">
      <formula>AND(OR($A222="COMPOSICAO",$A222="INSUMO",$A222&lt;&gt;""),$A222&lt;&gt;"")</formula>
    </cfRule>
  </conditionalFormatting>
  <conditionalFormatting sqref="G239:H242 H243">
    <cfRule type="expression" dxfId="236" priority="1221" stopIfTrue="1">
      <formula>AND($A239&lt;&gt;"COMPOSICAO",$A239&lt;&gt;"INSUMO",$A239&lt;&gt;"")</formula>
    </cfRule>
    <cfRule type="expression" dxfId="235" priority="1222" stopIfTrue="1">
      <formula>AND(OR($A239="COMPOSICAO",$A239="INSUMO",$A239&lt;&gt;""),$A239&lt;&gt;"")</formula>
    </cfRule>
  </conditionalFormatting>
  <conditionalFormatting sqref="F230:H230">
    <cfRule type="expression" dxfId="234" priority="1225" stopIfTrue="1">
      <formula>AND($A230&lt;&gt;"COMPOSICAO",$A230&lt;&gt;"INSUMO",$A230&lt;&gt;"")</formula>
    </cfRule>
    <cfRule type="expression" dxfId="233" priority="1226" stopIfTrue="1">
      <formula>AND(OR($A230="COMPOSICAO",$A230="INSUMO",$A230&lt;&gt;""),$A230&lt;&gt;"")</formula>
    </cfRule>
  </conditionalFormatting>
  <conditionalFormatting sqref="F238:H238">
    <cfRule type="expression" dxfId="232" priority="1219" stopIfTrue="1">
      <formula>AND($A238&lt;&gt;"COMPOSICAO",$A238&lt;&gt;"INSUMO",$A238&lt;&gt;"")</formula>
    </cfRule>
    <cfRule type="expression" dxfId="231" priority="1220" stopIfTrue="1">
      <formula>AND(OR($A238="COMPOSICAO",$A238="INSUMO",$A238&lt;&gt;""),$A238&lt;&gt;"")</formula>
    </cfRule>
  </conditionalFormatting>
  <conditionalFormatting sqref="F246:H246">
    <cfRule type="expression" dxfId="230" priority="1213" stopIfTrue="1">
      <formula>AND($A246&lt;&gt;"COMPOSICAO",$A246&lt;&gt;"INSUMO",$A246&lt;&gt;"")</formula>
    </cfRule>
    <cfRule type="expression" dxfId="229" priority="1214" stopIfTrue="1">
      <formula>AND(OR($A246="COMPOSICAO",$A246="INSUMO",$A246&lt;&gt;""),$A246&lt;&gt;"")</formula>
    </cfRule>
  </conditionalFormatting>
  <conditionalFormatting sqref="G260:H260">
    <cfRule type="expression" dxfId="228" priority="1207" stopIfTrue="1">
      <formula>AND($A260&lt;&gt;"COMPOSICAO",$A260&lt;&gt;"INSUMO",$A260&lt;&gt;"")</formula>
    </cfRule>
    <cfRule type="expression" dxfId="227" priority="1208" stopIfTrue="1">
      <formula>AND(OR($A260="COMPOSICAO",$A260="INSUMO",$A260&lt;&gt;""),$A260&lt;&gt;"")</formula>
    </cfRule>
  </conditionalFormatting>
  <conditionalFormatting sqref="G273:H273">
    <cfRule type="expression" dxfId="226" priority="1201" stopIfTrue="1">
      <formula>AND($A273&lt;&gt;"COMPOSICAO",$A273&lt;&gt;"INSUMO",$A273&lt;&gt;"")</formula>
    </cfRule>
    <cfRule type="expression" dxfId="225" priority="1202" stopIfTrue="1">
      <formula>AND(OR($A273="COMPOSICAO",$A273="INSUMO",$A273&lt;&gt;""),$A273&lt;&gt;"")</formula>
    </cfRule>
  </conditionalFormatting>
  <conditionalFormatting sqref="F272:H272">
    <cfRule type="expression" dxfId="224" priority="1199" stopIfTrue="1">
      <formula>AND($A272&lt;&gt;"COMPOSICAO",$A272&lt;&gt;"INSUMO",$A272&lt;&gt;"")</formula>
    </cfRule>
    <cfRule type="expression" dxfId="223" priority="1200" stopIfTrue="1">
      <formula>AND(OR($A272="COMPOSICAO",$A272="INSUMO",$A272&lt;&gt;""),$A272&lt;&gt;"")</formula>
    </cfRule>
  </conditionalFormatting>
  <conditionalFormatting sqref="G282:H282">
    <cfRule type="expression" dxfId="222" priority="1193" stopIfTrue="1">
      <formula>AND($A282&lt;&gt;"COMPOSICAO",$A282&lt;&gt;"INSUMO",$A282&lt;&gt;"")</formula>
    </cfRule>
    <cfRule type="expression" dxfId="221" priority="1194" stopIfTrue="1">
      <formula>AND(OR($A282="COMPOSICAO",$A282="INSUMO",$A282&lt;&gt;""),$A282&lt;&gt;"")</formula>
    </cfRule>
  </conditionalFormatting>
  <conditionalFormatting sqref="F281:H281">
    <cfRule type="expression" dxfId="220" priority="1191" stopIfTrue="1">
      <formula>AND($A281&lt;&gt;"COMPOSICAO",$A281&lt;&gt;"INSUMO",$A281&lt;&gt;"")</formula>
    </cfRule>
    <cfRule type="expression" dxfId="219" priority="1192" stopIfTrue="1">
      <formula>AND(OR($A281="COMPOSICAO",$A281="INSUMO",$A281&lt;&gt;""),$A281&lt;&gt;"")</formula>
    </cfRule>
  </conditionalFormatting>
  <conditionalFormatting sqref="F291:H291">
    <cfRule type="expression" dxfId="218" priority="1185" stopIfTrue="1">
      <formula>AND($A291&lt;&gt;"COMPOSICAO",$A291&lt;&gt;"INSUMO",$A291&lt;&gt;"")</formula>
    </cfRule>
    <cfRule type="expression" dxfId="217" priority="1186" stopIfTrue="1">
      <formula>AND(OR($A291="COMPOSICAO",$A291="INSUMO",$A291&lt;&gt;""),$A291&lt;&gt;"")</formula>
    </cfRule>
  </conditionalFormatting>
  <conditionalFormatting sqref="F300:H300">
    <cfRule type="expression" dxfId="216" priority="1175" stopIfTrue="1">
      <formula>AND($A300&lt;&gt;"COMPOSICAO",$A300&lt;&gt;"INSUMO",$A300&lt;&gt;"")</formula>
    </cfRule>
    <cfRule type="expression" dxfId="215" priority="1176" stopIfTrue="1">
      <formula>AND(OR($A300="COMPOSICAO",$A300="INSUMO",$A300&lt;&gt;""),$A300&lt;&gt;"")</formula>
    </cfRule>
  </conditionalFormatting>
  <conditionalFormatting sqref="G322:H322 G323:G326">
    <cfRule type="expression" dxfId="214" priority="1163" stopIfTrue="1">
      <formula>AND($A322&lt;&gt;"COMPOSICAO",$A322&lt;&gt;"INSUMO",$A322&lt;&gt;"")</formula>
    </cfRule>
    <cfRule type="expression" dxfId="213" priority="1164" stopIfTrue="1">
      <formula>AND(OR($A322="COMPOSICAO",$A322="INSUMO",$A322&lt;&gt;""),$A322&lt;&gt;"")</formula>
    </cfRule>
  </conditionalFormatting>
  <conditionalFormatting sqref="F310:H310">
    <cfRule type="expression" dxfId="212" priority="1167" stopIfTrue="1">
      <formula>AND($A310&lt;&gt;"COMPOSICAO",$A310&lt;&gt;"INSUMO",$A310&lt;&gt;"")</formula>
    </cfRule>
    <cfRule type="expression" dxfId="211" priority="1168" stopIfTrue="1">
      <formula>AND(OR($A310="COMPOSICAO",$A310="INSUMO",$A310&lt;&gt;""),$A310&lt;&gt;"")</formula>
    </cfRule>
  </conditionalFormatting>
  <conditionalFormatting sqref="F321:H321">
    <cfRule type="expression" dxfId="210" priority="1159" stopIfTrue="1">
      <formula>AND($A321&lt;&gt;"COMPOSICAO",$A321&lt;&gt;"INSUMO",$A321&lt;&gt;"")</formula>
    </cfRule>
    <cfRule type="expression" dxfId="209" priority="1160" stopIfTrue="1">
      <formula>AND(OR($A321="COMPOSICAO",$A321="INSUMO",$A321&lt;&gt;""),$A321&lt;&gt;"")</formula>
    </cfRule>
  </conditionalFormatting>
  <conditionalFormatting sqref="F52:H52">
    <cfRule type="expression" dxfId="208" priority="265" stopIfTrue="1">
      <formula>AND($A52&lt;&gt;"COMPOSICAO",$A52&lt;&gt;"INSUMO",$A52&lt;&gt;"")</formula>
    </cfRule>
    <cfRule type="expression" dxfId="207" priority="266" stopIfTrue="1">
      <formula>AND(OR($A52="COMPOSICAO",$A52="INSUMO",$A52&lt;&gt;""),$A52&lt;&gt;"")</formula>
    </cfRule>
  </conditionalFormatting>
  <conditionalFormatting sqref="C58:D59">
    <cfRule type="expression" dxfId="206" priority="263" stopIfTrue="1">
      <formula>AND($A58&lt;&gt;"COMPOSICAO",$A58&lt;&gt;"INSUMO",$A58&lt;&gt;"")</formula>
    </cfRule>
    <cfRule type="expression" dxfId="205" priority="264" stopIfTrue="1">
      <formula>AND(OR($A58="COMPOSICAO",$A58="INSUMO",$A58&lt;&gt;""),$A58&lt;&gt;"")</formula>
    </cfRule>
  </conditionalFormatting>
  <conditionalFormatting sqref="F57:H57">
    <cfRule type="expression" dxfId="204" priority="261" stopIfTrue="1">
      <formula>AND($A57&lt;&gt;"COMPOSICAO",$A57&lt;&gt;"INSUMO",$A57&lt;&gt;"")</formula>
    </cfRule>
    <cfRule type="expression" dxfId="203" priority="262" stopIfTrue="1">
      <formula>AND(OR($A57="COMPOSICAO",$A57="INSUMO",$A57&lt;&gt;""),$A57&lt;&gt;"")</formula>
    </cfRule>
  </conditionalFormatting>
  <conditionalFormatting sqref="F64:H64">
    <cfRule type="expression" dxfId="202" priority="257" stopIfTrue="1">
      <formula>AND($A64&lt;&gt;"COMPOSICAO",$A64&lt;&gt;"INSUMO",$A64&lt;&gt;"")</formula>
    </cfRule>
    <cfRule type="expression" dxfId="201" priority="258" stopIfTrue="1">
      <formula>AND(OR($A64="COMPOSICAO",$A64="INSUMO",$A64&lt;&gt;""),$A64&lt;&gt;"")</formula>
    </cfRule>
  </conditionalFormatting>
  <conditionalFormatting sqref="F68:H68">
    <cfRule type="expression" dxfId="200" priority="253" stopIfTrue="1">
      <formula>AND($A68&lt;&gt;"COMPOSICAO",$A68&lt;&gt;"INSUMO",$A68&lt;&gt;"")</formula>
    </cfRule>
    <cfRule type="expression" dxfId="199" priority="254" stopIfTrue="1">
      <formula>AND(OR($A68="COMPOSICAO",$A68="INSUMO",$A68&lt;&gt;""),$A68&lt;&gt;"")</formula>
    </cfRule>
  </conditionalFormatting>
  <conditionalFormatting sqref="C69:D70">
    <cfRule type="expression" dxfId="198" priority="255" stopIfTrue="1">
      <formula>AND($A69&lt;&gt;"COMPOSICAO",$A69&lt;&gt;"INSUMO",$A69&lt;&gt;"")</formula>
    </cfRule>
    <cfRule type="expression" dxfId="197" priority="256" stopIfTrue="1">
      <formula>AND(OR($A69="COMPOSICAO",$A69="INSUMO",$A69&lt;&gt;""),$A69&lt;&gt;"")</formula>
    </cfRule>
  </conditionalFormatting>
  <conditionalFormatting sqref="C106:D107">
    <cfRule type="expression" dxfId="196" priority="251" stopIfTrue="1">
      <formula>AND($A106&lt;&gt;"COMPOSICAO",$A106&lt;&gt;"INSUMO",$A106&lt;&gt;"")</formula>
    </cfRule>
    <cfRule type="expression" dxfId="195" priority="252" stopIfTrue="1">
      <formula>AND(OR($A106="COMPOSICAO",$A106="INSUMO",$A106&lt;&gt;""),$A106&lt;&gt;"")</formula>
    </cfRule>
  </conditionalFormatting>
  <conditionalFormatting sqref="C111:D111">
    <cfRule type="expression" dxfId="194" priority="249" stopIfTrue="1">
      <formula>AND($A111&lt;&gt;"COMPOSICAO",$A111&lt;&gt;"INSUMO",$A111&lt;&gt;"")</formula>
    </cfRule>
    <cfRule type="expression" dxfId="193" priority="250" stopIfTrue="1">
      <formula>AND(OR($A111="COMPOSICAO",$A111="INSUMO",$A111&lt;&gt;""),$A111&lt;&gt;"")</formula>
    </cfRule>
  </conditionalFormatting>
  <conditionalFormatting sqref="C116:D117">
    <cfRule type="expression" dxfId="192" priority="247" stopIfTrue="1">
      <formula>AND($A116&lt;&gt;"COMPOSICAO",$A116&lt;&gt;"INSUMO",$A116&lt;&gt;"")</formula>
    </cfRule>
    <cfRule type="expression" dxfId="191" priority="248" stopIfTrue="1">
      <formula>AND(OR($A116="COMPOSICAO",$A116="INSUMO",$A116&lt;&gt;""),$A116&lt;&gt;"")</formula>
    </cfRule>
  </conditionalFormatting>
  <conditionalFormatting sqref="C129:D129">
    <cfRule type="expression" dxfId="190" priority="245" stopIfTrue="1">
      <formula>AND($A129&lt;&gt;"COMPOSICAO",$A129&lt;&gt;"INSUMO",$A129&lt;&gt;"")</formula>
    </cfRule>
    <cfRule type="expression" dxfId="189" priority="246" stopIfTrue="1">
      <formula>AND(OR($A129="COMPOSICAO",$A129="INSUMO",$A129&lt;&gt;""),$A129&lt;&gt;"")</formula>
    </cfRule>
  </conditionalFormatting>
  <conditionalFormatting sqref="C164:D169">
    <cfRule type="expression" dxfId="188" priority="243" stopIfTrue="1">
      <formula>AND($A164&lt;&gt;"COMPOSICAO",$A164&lt;&gt;"INSUMO",$A164&lt;&gt;"")</formula>
    </cfRule>
    <cfRule type="expression" dxfId="187" priority="244" stopIfTrue="1">
      <formula>AND(OR($A164="COMPOSICAO",$A164="INSUMO",$A164&lt;&gt;""),$A164&lt;&gt;"")</formula>
    </cfRule>
  </conditionalFormatting>
  <conditionalFormatting sqref="F161:H161">
    <cfRule type="expression" dxfId="186" priority="241" stopIfTrue="1">
      <formula>AND($A161&lt;&gt;"COMPOSICAO",$A161&lt;&gt;"INSUMO",$A161&lt;&gt;"")</formula>
    </cfRule>
    <cfRule type="expression" dxfId="185" priority="242" stopIfTrue="1">
      <formula>AND(OR($A161="COMPOSICAO",$A161="INSUMO",$A161&lt;&gt;""),$A161&lt;&gt;"")</formula>
    </cfRule>
  </conditionalFormatting>
  <conditionalFormatting sqref="C162:D162">
    <cfRule type="expression" dxfId="184" priority="239" stopIfTrue="1">
      <formula>AND($A162&lt;&gt;"COMPOSICAO",$A162&lt;&gt;"INSUMO",$A162&lt;&gt;"")</formula>
    </cfRule>
    <cfRule type="expression" dxfId="183" priority="240" stopIfTrue="1">
      <formula>AND(OR($A162="COMPOSICAO",$A162="INSUMO",$A162&lt;&gt;""),$A162&lt;&gt;"")</formula>
    </cfRule>
  </conditionalFormatting>
  <conditionalFormatting sqref="C163:D163">
    <cfRule type="expression" dxfId="182" priority="237" stopIfTrue="1">
      <formula>AND($A163&lt;&gt;"COMPOSICAO",$A163&lt;&gt;"INSUMO",$A163&lt;&gt;"")</formula>
    </cfRule>
    <cfRule type="expression" dxfId="181" priority="238" stopIfTrue="1">
      <formula>AND(OR($A163="COMPOSICAO",$A163="INSUMO",$A163&lt;&gt;""),$A163&lt;&gt;"")</formula>
    </cfRule>
  </conditionalFormatting>
  <conditionalFormatting sqref="C182:D186">
    <cfRule type="expression" dxfId="180" priority="235" stopIfTrue="1">
      <formula>AND($A182&lt;&gt;"COMPOSICAO",$A182&lt;&gt;"INSUMO",$A182&lt;&gt;"")</formula>
    </cfRule>
    <cfRule type="expression" dxfId="179" priority="236" stopIfTrue="1">
      <formula>AND(OR($A182="COMPOSICAO",$A182="INSUMO",$A182&lt;&gt;""),$A182&lt;&gt;"")</formula>
    </cfRule>
  </conditionalFormatting>
  <conditionalFormatting sqref="G243">
    <cfRule type="expression" dxfId="178" priority="233" stopIfTrue="1">
      <formula>AND($A243&lt;&gt;"COMPOSICAO",$A243&lt;&gt;"INSUMO",$A243&lt;&gt;"")</formula>
    </cfRule>
    <cfRule type="expression" dxfId="177" priority="234" stopIfTrue="1">
      <formula>AND(OR($A243="COMPOSICAO",$A243="INSUMO",$A243&lt;&gt;""),$A243&lt;&gt;"")</formula>
    </cfRule>
  </conditionalFormatting>
  <conditionalFormatting sqref="E247:H247 H248:H255">
    <cfRule type="expression" dxfId="176" priority="231" stopIfTrue="1">
      <formula>AND($A247&lt;&gt;"COMPOSICAO",$A247&lt;&gt;"INSUMO",$A247&lt;&gt;"")</formula>
    </cfRule>
    <cfRule type="expression" dxfId="175" priority="232" stopIfTrue="1">
      <formula>AND(OR($A247="COMPOSICAO",$A247="INSUMO",$A247&lt;&gt;""),$A247&lt;&gt;"")</formula>
    </cfRule>
  </conditionalFormatting>
  <conditionalFormatting sqref="G248:G255">
    <cfRule type="expression" dxfId="174" priority="217" stopIfTrue="1">
      <formula>AND($A248&lt;&gt;"COMPOSICAO",$A248&lt;&gt;"INSUMO",$A248&lt;&gt;"")</formula>
    </cfRule>
    <cfRule type="expression" dxfId="173" priority="218" stopIfTrue="1">
      <formula>AND(OR($A248="COMPOSICAO",$A248="INSUMO",$A248&lt;&gt;""),$A248&lt;&gt;"")</formula>
    </cfRule>
  </conditionalFormatting>
  <conditionalFormatting sqref="C248:C255">
    <cfRule type="expression" dxfId="172" priority="229" stopIfTrue="1">
      <formula>AND($A248&lt;&gt;"COMPOSICAO",$A248&lt;&gt;"INSUMO",$A248&lt;&gt;"")</formula>
    </cfRule>
    <cfRule type="expression" dxfId="171" priority="230" stopIfTrue="1">
      <formula>AND(OR($A248="COMPOSICAO",$A248="INSUMO",$A248&lt;&gt;""),$A248&lt;&gt;"")</formula>
    </cfRule>
  </conditionalFormatting>
  <conditionalFormatting sqref="D248:D255">
    <cfRule type="expression" dxfId="170" priority="227" stopIfTrue="1">
      <formula>AND($A248&lt;&gt;"COMPOSICAO",$A248&lt;&gt;"INSUMO",$A248&lt;&gt;"")</formula>
    </cfRule>
    <cfRule type="expression" dxfId="169" priority="228" stopIfTrue="1">
      <formula>AND(OR($A248="COMPOSICAO",$A248="INSUMO",$A248&lt;&gt;""),$A248&lt;&gt;"")</formula>
    </cfRule>
  </conditionalFormatting>
  <conditionalFormatting sqref="E248:E255">
    <cfRule type="expression" dxfId="168" priority="225" stopIfTrue="1">
      <formula>AND($A248&lt;&gt;"COMPOSICAO",$A248&lt;&gt;"INSUMO",$A248&lt;&gt;"")</formula>
    </cfRule>
    <cfRule type="expression" dxfId="167" priority="226" stopIfTrue="1">
      <formula>AND(OR($A248="COMPOSICAO",$A248="INSUMO",$A248&lt;&gt;""),$A248&lt;&gt;"")</formula>
    </cfRule>
  </conditionalFormatting>
  <conditionalFormatting sqref="F248:F254">
    <cfRule type="expression" dxfId="166" priority="223" stopIfTrue="1">
      <formula>AND($A248&lt;&gt;"COMPOSICAO",$A248&lt;&gt;"INSUMO",$A248&lt;&gt;"")</formula>
    </cfRule>
    <cfRule type="expression" dxfId="165" priority="224" stopIfTrue="1">
      <formula>AND(OR($A248="COMPOSICAO",$A248="INSUMO",$A248&lt;&gt;""),$A248&lt;&gt;"")</formula>
    </cfRule>
  </conditionalFormatting>
  <conditionalFormatting sqref="C331:D335">
    <cfRule type="expression" dxfId="164" priority="213" stopIfTrue="1">
      <formula>AND($A331&lt;&gt;"COMPOSICAO",$A331&lt;&gt;"INSUMO",$A331&lt;&gt;"")</formula>
    </cfRule>
    <cfRule type="expression" dxfId="163" priority="214" stopIfTrue="1">
      <formula>AND(OR($A331="COMPOSICAO",$A331="INSUMO",$A331&lt;&gt;""),$A331&lt;&gt;"")</formula>
    </cfRule>
  </conditionalFormatting>
  <conditionalFormatting sqref="G331:H335">
    <cfRule type="expression" dxfId="162" priority="211" stopIfTrue="1">
      <formula>AND($A331&lt;&gt;"COMPOSICAO",$A331&lt;&gt;"INSUMO",$A331&lt;&gt;"")</formula>
    </cfRule>
    <cfRule type="expression" dxfId="161" priority="212" stopIfTrue="1">
      <formula>AND(OR($A331="COMPOSICAO",$A331="INSUMO",$A331&lt;&gt;""),$A331&lt;&gt;"")</formula>
    </cfRule>
  </conditionalFormatting>
  <conditionalFormatting sqref="F330:H330">
    <cfRule type="expression" dxfId="160" priority="209" stopIfTrue="1">
      <formula>AND($A330&lt;&gt;"COMPOSICAO",$A330&lt;&gt;"INSUMO",$A330&lt;&gt;"")</formula>
    </cfRule>
    <cfRule type="expression" dxfId="159" priority="210" stopIfTrue="1">
      <formula>AND(OR($A330="COMPOSICAO",$A330="INSUMO",$A330&lt;&gt;""),$A330&lt;&gt;"")</formula>
    </cfRule>
  </conditionalFormatting>
  <conditionalFormatting sqref="C351:D355">
    <cfRule type="expression" dxfId="158" priority="201" stopIfTrue="1">
      <formula>AND($A351&lt;&gt;"COMPOSICAO",$A351&lt;&gt;"INSUMO",$A351&lt;&gt;"")</formula>
    </cfRule>
    <cfRule type="expression" dxfId="157" priority="202" stopIfTrue="1">
      <formula>AND(OR($A351="COMPOSICAO",$A351="INSUMO",$A351&lt;&gt;""),$A351&lt;&gt;"")</formula>
    </cfRule>
  </conditionalFormatting>
  <conditionalFormatting sqref="G351:H355">
    <cfRule type="expression" dxfId="156" priority="199" stopIfTrue="1">
      <formula>AND($A351&lt;&gt;"COMPOSICAO",$A351&lt;&gt;"INSUMO",$A351&lt;&gt;"")</formula>
    </cfRule>
    <cfRule type="expression" dxfId="155" priority="200" stopIfTrue="1">
      <formula>AND(OR($A351="COMPOSICAO",$A351="INSUMO",$A351&lt;&gt;""),$A351&lt;&gt;"")</formula>
    </cfRule>
  </conditionalFormatting>
  <conditionalFormatting sqref="F350:H350">
    <cfRule type="expression" dxfId="154" priority="197" stopIfTrue="1">
      <formula>AND($A350&lt;&gt;"COMPOSICAO",$A350&lt;&gt;"INSUMO",$A350&lt;&gt;"")</formula>
    </cfRule>
    <cfRule type="expression" dxfId="153" priority="198" stopIfTrue="1">
      <formula>AND(OR($A350="COMPOSICAO",$A350="INSUMO",$A350&lt;&gt;""),$A350&lt;&gt;"")</formula>
    </cfRule>
  </conditionalFormatting>
  <conditionalFormatting sqref="F360:H360">
    <cfRule type="expression" dxfId="152" priority="191" stopIfTrue="1">
      <formula>AND($A360&lt;&gt;"COMPOSICAO",$A360&lt;&gt;"INSUMO",$A360&lt;&gt;"")</formula>
    </cfRule>
    <cfRule type="expression" dxfId="151" priority="192" stopIfTrue="1">
      <formula>AND(OR($A360="COMPOSICAO",$A360="INSUMO",$A360&lt;&gt;""),$A360&lt;&gt;"")</formula>
    </cfRule>
  </conditionalFormatting>
  <conditionalFormatting sqref="C371:D371 C373:D375">
    <cfRule type="expression" dxfId="150" priority="189" stopIfTrue="1">
      <formula>AND($A371&lt;&gt;"COMPOSICAO",$A371&lt;&gt;"INSUMO",$A371&lt;&gt;"")</formula>
    </cfRule>
    <cfRule type="expression" dxfId="149" priority="190" stopIfTrue="1">
      <formula>AND(OR($A371="COMPOSICAO",$A371="INSUMO",$A371&lt;&gt;""),$A371&lt;&gt;"")</formula>
    </cfRule>
  </conditionalFormatting>
  <conditionalFormatting sqref="G371:H375">
    <cfRule type="expression" dxfId="148" priority="187" stopIfTrue="1">
      <formula>AND($A371&lt;&gt;"COMPOSICAO",$A371&lt;&gt;"INSUMO",$A371&lt;&gt;"")</formula>
    </cfRule>
    <cfRule type="expression" dxfId="147" priority="188" stopIfTrue="1">
      <formula>AND(OR($A371="COMPOSICAO",$A371="INSUMO",$A371&lt;&gt;""),$A371&lt;&gt;"")</formula>
    </cfRule>
  </conditionalFormatting>
  <conditionalFormatting sqref="F370:H370">
    <cfRule type="expression" dxfId="146" priority="185" stopIfTrue="1">
      <formula>AND($A370&lt;&gt;"COMPOSICAO",$A370&lt;&gt;"INSUMO",$A370&lt;&gt;"")</formula>
    </cfRule>
    <cfRule type="expression" dxfId="145" priority="186" stopIfTrue="1">
      <formula>AND(OR($A370="COMPOSICAO",$A370="INSUMO",$A370&lt;&gt;""),$A370&lt;&gt;"")</formula>
    </cfRule>
  </conditionalFormatting>
  <conditionalFormatting sqref="C372:D372">
    <cfRule type="expression" dxfId="144" priority="183" stopIfTrue="1">
      <formula>AND($A372&lt;&gt;"COMPOSICAO",$A372&lt;&gt;"INSUMO",$A372&lt;&gt;"")</formula>
    </cfRule>
    <cfRule type="expression" dxfId="143" priority="184" stopIfTrue="1">
      <formula>AND(OR($A372="COMPOSICAO",$A372="INSUMO",$A372&lt;&gt;""),$A372&lt;&gt;"")</formula>
    </cfRule>
  </conditionalFormatting>
  <conditionalFormatting sqref="D420">
    <cfRule type="expression" dxfId="142" priority="119" stopIfTrue="1">
      <formula>AND($A420&lt;&gt;"COMPOSICAO",$A420&lt;&gt;"INSUMO",$A420&lt;&gt;"")</formula>
    </cfRule>
    <cfRule type="expression" dxfId="141" priority="120" stopIfTrue="1">
      <formula>AND(OR($A420="COMPOSICAO",$A420="INSUMO",$A420&lt;&gt;""),$A420&lt;&gt;"")</formula>
    </cfRule>
  </conditionalFormatting>
  <conditionalFormatting sqref="C397:D397">
    <cfRule type="expression" dxfId="140" priority="173" stopIfTrue="1">
      <formula>AND($A397&lt;&gt;"COMPOSICAO",$A397&lt;&gt;"INSUMO",$A397&lt;&gt;"")</formula>
    </cfRule>
    <cfRule type="expression" dxfId="139" priority="174" stopIfTrue="1">
      <formula>AND(OR($A397="COMPOSICAO",$A397="INSUMO",$A397&lt;&gt;""),$A397&lt;&gt;"")</formula>
    </cfRule>
  </conditionalFormatting>
  <conditionalFormatting sqref="G397:H398 H399">
    <cfRule type="expression" dxfId="138" priority="171" stopIfTrue="1">
      <formula>AND($A397&lt;&gt;"COMPOSICAO",$A397&lt;&gt;"INSUMO",$A397&lt;&gt;"")</formula>
    </cfRule>
    <cfRule type="expression" dxfId="137" priority="172" stopIfTrue="1">
      <formula>AND(OR($A397="COMPOSICAO",$A397="INSUMO",$A397&lt;&gt;""),$A397&lt;&gt;"")</formula>
    </cfRule>
  </conditionalFormatting>
  <conditionalFormatting sqref="F396:H396">
    <cfRule type="expression" dxfId="136" priority="169" stopIfTrue="1">
      <formula>AND($A396&lt;&gt;"COMPOSICAO",$A396&lt;&gt;"INSUMO",$A396&lt;&gt;"")</formula>
    </cfRule>
    <cfRule type="expression" dxfId="135" priority="170" stopIfTrue="1">
      <formula>AND(OR($A396="COMPOSICAO",$A396="INSUMO",$A396&lt;&gt;""),$A396&lt;&gt;"")</formula>
    </cfRule>
  </conditionalFormatting>
  <conditionalFormatting sqref="C426:D426">
    <cfRule type="expression" dxfId="134" priority="117" stopIfTrue="1">
      <formula>AND($A426&lt;&gt;"COMPOSICAO",$A426&lt;&gt;"INSUMO",$A426&lt;&gt;"")</formula>
    </cfRule>
    <cfRule type="expression" dxfId="133" priority="118" stopIfTrue="1">
      <formula>AND(OR($A426="COMPOSICAO",$A426="INSUMO",$A426&lt;&gt;""),$A426&lt;&gt;"")</formula>
    </cfRule>
  </conditionalFormatting>
  <conditionalFormatting sqref="G426:H426 H427:H433 G426:G428">
    <cfRule type="expression" dxfId="132" priority="115" stopIfTrue="1">
      <formula>AND($A426&lt;&gt;"COMPOSICAO",$A426&lt;&gt;"INSUMO",$A426&lt;&gt;"")</formula>
    </cfRule>
    <cfRule type="expression" dxfId="131" priority="116" stopIfTrue="1">
      <formula>AND(OR($A426="COMPOSICAO",$A426="INSUMO",$A426&lt;&gt;""),$A426&lt;&gt;"")</formula>
    </cfRule>
  </conditionalFormatting>
  <conditionalFormatting sqref="F425:H425">
    <cfRule type="expression" dxfId="130" priority="113" stopIfTrue="1">
      <formula>AND($A425&lt;&gt;"COMPOSICAO",$A425&lt;&gt;"INSUMO",$A425&lt;&gt;"")</formula>
    </cfRule>
    <cfRule type="expression" dxfId="129" priority="114" stopIfTrue="1">
      <formula>AND(OR($A425="COMPOSICAO",$A425="INSUMO",$A425&lt;&gt;""),$A425&lt;&gt;"")</formula>
    </cfRule>
  </conditionalFormatting>
  <conditionalFormatting sqref="C398:D398">
    <cfRule type="expression" dxfId="128" priority="167" stopIfTrue="1">
      <formula>AND($A398&lt;&gt;"COMPOSICAO",$A398&lt;&gt;"INSUMO",$A398&lt;&gt;"")</formula>
    </cfRule>
    <cfRule type="expression" dxfId="127" priority="168" stopIfTrue="1">
      <formula>AND(OR($A398="COMPOSICAO",$A398="INSUMO",$A398&lt;&gt;""),$A398&lt;&gt;"")</formula>
    </cfRule>
  </conditionalFormatting>
  <conditionalFormatting sqref="C399">
    <cfRule type="expression" dxfId="126" priority="165" stopIfTrue="1">
      <formula>AND($A399&lt;&gt;"COMPOSICAO",$A399&lt;&gt;"INSUMO",$A399&lt;&gt;"")</formula>
    </cfRule>
    <cfRule type="expression" dxfId="125" priority="166" stopIfTrue="1">
      <formula>AND(OR($A399="COMPOSICAO",$A399="INSUMO",$A399&lt;&gt;""),$A399&lt;&gt;"")</formula>
    </cfRule>
  </conditionalFormatting>
  <conditionalFormatting sqref="G399">
    <cfRule type="expression" dxfId="124" priority="163" stopIfTrue="1">
      <formula>AND($A399&lt;&gt;"COMPOSICAO",$A399&lt;&gt;"INSUMO",$A399&lt;&gt;"")</formula>
    </cfRule>
    <cfRule type="expression" dxfId="123" priority="164" stopIfTrue="1">
      <formula>AND(OR($A399="COMPOSICAO",$A399="INSUMO",$A399&lt;&gt;""),$A399&lt;&gt;"")</formula>
    </cfRule>
  </conditionalFormatting>
  <conditionalFormatting sqref="D399">
    <cfRule type="expression" dxfId="122" priority="161" stopIfTrue="1">
      <formula>AND($A399&lt;&gt;"COMPOSICAO",$A399&lt;&gt;"INSUMO",$A399&lt;&gt;"")</formula>
    </cfRule>
    <cfRule type="expression" dxfId="121" priority="162" stopIfTrue="1">
      <formula>AND(OR($A399="COMPOSICAO",$A399="INSUMO",$A399&lt;&gt;""),$A399&lt;&gt;"")</formula>
    </cfRule>
  </conditionalFormatting>
  <conditionalFormatting sqref="C404:D404">
    <cfRule type="expression" dxfId="120" priority="159" stopIfTrue="1">
      <formula>AND($A404&lt;&gt;"COMPOSICAO",$A404&lt;&gt;"INSUMO",$A404&lt;&gt;"")</formula>
    </cfRule>
    <cfRule type="expression" dxfId="119" priority="160" stopIfTrue="1">
      <formula>AND(OR($A404="COMPOSICAO",$A404="INSUMO",$A404&lt;&gt;""),$A404&lt;&gt;"")</formula>
    </cfRule>
  </conditionalFormatting>
  <conditionalFormatting sqref="G404:H405 H406">
    <cfRule type="expression" dxfId="118" priority="157" stopIfTrue="1">
      <formula>AND($A404&lt;&gt;"COMPOSICAO",$A404&lt;&gt;"INSUMO",$A404&lt;&gt;"")</formula>
    </cfRule>
    <cfRule type="expression" dxfId="117" priority="158" stopIfTrue="1">
      <formula>AND(OR($A404="COMPOSICAO",$A404="INSUMO",$A404&lt;&gt;""),$A404&lt;&gt;"")</formula>
    </cfRule>
  </conditionalFormatting>
  <conditionalFormatting sqref="F403:H403">
    <cfRule type="expression" dxfId="116" priority="155" stopIfTrue="1">
      <formula>AND($A403&lt;&gt;"COMPOSICAO",$A403&lt;&gt;"INSUMO",$A403&lt;&gt;"")</formula>
    </cfRule>
    <cfRule type="expression" dxfId="115" priority="156" stopIfTrue="1">
      <formula>AND(OR($A403="COMPOSICAO",$A403="INSUMO",$A403&lt;&gt;""),$A403&lt;&gt;"")</formula>
    </cfRule>
  </conditionalFormatting>
  <conditionalFormatting sqref="C405:D405">
    <cfRule type="expression" dxfId="114" priority="153" stopIfTrue="1">
      <formula>AND($A405&lt;&gt;"COMPOSICAO",$A405&lt;&gt;"INSUMO",$A405&lt;&gt;"")</formula>
    </cfRule>
    <cfRule type="expression" dxfId="113" priority="154" stopIfTrue="1">
      <formula>AND(OR($A405="COMPOSICAO",$A405="INSUMO",$A405&lt;&gt;""),$A405&lt;&gt;"")</formula>
    </cfRule>
  </conditionalFormatting>
  <conditionalFormatting sqref="C406">
    <cfRule type="expression" dxfId="112" priority="151" stopIfTrue="1">
      <formula>AND($A406&lt;&gt;"COMPOSICAO",$A406&lt;&gt;"INSUMO",$A406&lt;&gt;"")</formula>
    </cfRule>
    <cfRule type="expression" dxfId="111" priority="152" stopIfTrue="1">
      <formula>AND(OR($A406="COMPOSICAO",$A406="INSUMO",$A406&lt;&gt;""),$A406&lt;&gt;"")</formula>
    </cfRule>
  </conditionalFormatting>
  <conditionalFormatting sqref="G406">
    <cfRule type="expression" dxfId="110" priority="149" stopIfTrue="1">
      <formula>AND($A406&lt;&gt;"COMPOSICAO",$A406&lt;&gt;"INSUMO",$A406&lt;&gt;"")</formula>
    </cfRule>
    <cfRule type="expression" dxfId="109" priority="150" stopIfTrue="1">
      <formula>AND(OR($A406="COMPOSICAO",$A406="INSUMO",$A406&lt;&gt;""),$A406&lt;&gt;"")</formula>
    </cfRule>
  </conditionalFormatting>
  <conditionalFormatting sqref="D406">
    <cfRule type="expression" dxfId="108" priority="147" stopIfTrue="1">
      <formula>AND($A406&lt;&gt;"COMPOSICAO",$A406&lt;&gt;"INSUMO",$A406&lt;&gt;"")</formula>
    </cfRule>
    <cfRule type="expression" dxfId="107" priority="148" stopIfTrue="1">
      <formula>AND(OR($A406="COMPOSICAO",$A406="INSUMO",$A406&lt;&gt;""),$A406&lt;&gt;"")</formula>
    </cfRule>
  </conditionalFormatting>
  <conditionalFormatting sqref="C411:D411">
    <cfRule type="expression" dxfId="106" priority="145" stopIfTrue="1">
      <formula>AND($A411&lt;&gt;"COMPOSICAO",$A411&lt;&gt;"INSUMO",$A411&lt;&gt;"")</formula>
    </cfRule>
    <cfRule type="expression" dxfId="105" priority="146" stopIfTrue="1">
      <formula>AND(OR($A411="COMPOSICAO",$A411="INSUMO",$A411&lt;&gt;""),$A411&lt;&gt;"")</formula>
    </cfRule>
  </conditionalFormatting>
  <conditionalFormatting sqref="G411:H412 H413">
    <cfRule type="expression" dxfId="104" priority="143" stopIfTrue="1">
      <formula>AND($A411&lt;&gt;"COMPOSICAO",$A411&lt;&gt;"INSUMO",$A411&lt;&gt;"")</formula>
    </cfRule>
    <cfRule type="expression" dxfId="103" priority="144" stopIfTrue="1">
      <formula>AND(OR($A411="COMPOSICAO",$A411="INSUMO",$A411&lt;&gt;""),$A411&lt;&gt;"")</formula>
    </cfRule>
  </conditionalFormatting>
  <conditionalFormatting sqref="F410:H410">
    <cfRule type="expression" dxfId="102" priority="141" stopIfTrue="1">
      <formula>AND($A410&lt;&gt;"COMPOSICAO",$A410&lt;&gt;"INSUMO",$A410&lt;&gt;"")</formula>
    </cfRule>
    <cfRule type="expression" dxfId="101" priority="142" stopIfTrue="1">
      <formula>AND(OR($A410="COMPOSICAO",$A410="INSUMO",$A410&lt;&gt;""),$A410&lt;&gt;"")</formula>
    </cfRule>
  </conditionalFormatting>
  <conditionalFormatting sqref="C412:D412">
    <cfRule type="expression" dxfId="100" priority="139" stopIfTrue="1">
      <formula>AND($A412&lt;&gt;"COMPOSICAO",$A412&lt;&gt;"INSUMO",$A412&lt;&gt;"")</formula>
    </cfRule>
    <cfRule type="expression" dxfId="99" priority="140" stopIfTrue="1">
      <formula>AND(OR($A412="COMPOSICAO",$A412="INSUMO",$A412&lt;&gt;""),$A412&lt;&gt;"")</formula>
    </cfRule>
  </conditionalFormatting>
  <conditionalFormatting sqref="C413">
    <cfRule type="expression" dxfId="98" priority="137" stopIfTrue="1">
      <formula>AND($A413&lt;&gt;"COMPOSICAO",$A413&lt;&gt;"INSUMO",$A413&lt;&gt;"")</formula>
    </cfRule>
    <cfRule type="expression" dxfId="97" priority="138" stopIfTrue="1">
      <formula>AND(OR($A413="COMPOSICAO",$A413="INSUMO",$A413&lt;&gt;""),$A413&lt;&gt;"")</formula>
    </cfRule>
  </conditionalFormatting>
  <conditionalFormatting sqref="G413">
    <cfRule type="expression" dxfId="96" priority="135" stopIfTrue="1">
      <formula>AND($A413&lt;&gt;"COMPOSICAO",$A413&lt;&gt;"INSUMO",$A413&lt;&gt;"")</formula>
    </cfRule>
    <cfRule type="expression" dxfId="95" priority="136" stopIfTrue="1">
      <formula>AND(OR($A413="COMPOSICAO",$A413="INSUMO",$A413&lt;&gt;""),$A413&lt;&gt;"")</formula>
    </cfRule>
  </conditionalFormatting>
  <conditionalFormatting sqref="D413">
    <cfRule type="expression" dxfId="94" priority="133" stopIfTrue="1">
      <formula>AND($A413&lt;&gt;"COMPOSICAO",$A413&lt;&gt;"INSUMO",$A413&lt;&gt;"")</formula>
    </cfRule>
    <cfRule type="expression" dxfId="93" priority="134" stopIfTrue="1">
      <formula>AND(OR($A413="COMPOSICAO",$A413="INSUMO",$A413&lt;&gt;""),$A413&lt;&gt;"")</formula>
    </cfRule>
  </conditionalFormatting>
  <conditionalFormatting sqref="C418:D418">
    <cfRule type="expression" dxfId="92" priority="131" stopIfTrue="1">
      <formula>AND($A418&lt;&gt;"COMPOSICAO",$A418&lt;&gt;"INSUMO",$A418&lt;&gt;"")</formula>
    </cfRule>
    <cfRule type="expression" dxfId="91" priority="132" stopIfTrue="1">
      <formula>AND(OR($A418="COMPOSICAO",$A418="INSUMO",$A418&lt;&gt;""),$A418&lt;&gt;"")</formula>
    </cfRule>
  </conditionalFormatting>
  <conditionalFormatting sqref="G418:H419 H420">
    <cfRule type="expression" dxfId="90" priority="129" stopIfTrue="1">
      <formula>AND($A418&lt;&gt;"COMPOSICAO",$A418&lt;&gt;"INSUMO",$A418&lt;&gt;"")</formula>
    </cfRule>
    <cfRule type="expression" dxfId="89" priority="130" stopIfTrue="1">
      <formula>AND(OR($A418="COMPOSICAO",$A418="INSUMO",$A418&lt;&gt;""),$A418&lt;&gt;"")</formula>
    </cfRule>
  </conditionalFormatting>
  <conditionalFormatting sqref="F417:H417">
    <cfRule type="expression" dxfId="88" priority="127" stopIfTrue="1">
      <formula>AND($A417&lt;&gt;"COMPOSICAO",$A417&lt;&gt;"INSUMO",$A417&lt;&gt;"")</formula>
    </cfRule>
    <cfRule type="expression" dxfId="87" priority="128" stopIfTrue="1">
      <formula>AND(OR($A417="COMPOSICAO",$A417="INSUMO",$A417&lt;&gt;""),$A417&lt;&gt;"")</formula>
    </cfRule>
  </conditionalFormatting>
  <conditionalFormatting sqref="C419:D419">
    <cfRule type="expression" dxfId="86" priority="125" stopIfTrue="1">
      <formula>AND($A419&lt;&gt;"COMPOSICAO",$A419&lt;&gt;"INSUMO",$A419&lt;&gt;"")</formula>
    </cfRule>
    <cfRule type="expression" dxfId="85" priority="126" stopIfTrue="1">
      <formula>AND(OR($A419="COMPOSICAO",$A419="INSUMO",$A419&lt;&gt;""),$A419&lt;&gt;"")</formula>
    </cfRule>
  </conditionalFormatting>
  <conditionalFormatting sqref="C420">
    <cfRule type="expression" dxfId="84" priority="123" stopIfTrue="1">
      <formula>AND($A420&lt;&gt;"COMPOSICAO",$A420&lt;&gt;"INSUMO",$A420&lt;&gt;"")</formula>
    </cfRule>
    <cfRule type="expression" dxfId="83" priority="124" stopIfTrue="1">
      <formula>AND(OR($A420="COMPOSICAO",$A420="INSUMO",$A420&lt;&gt;""),$A420&lt;&gt;"")</formula>
    </cfRule>
  </conditionalFormatting>
  <conditionalFormatting sqref="G420">
    <cfRule type="expression" dxfId="82" priority="121" stopIfTrue="1">
      <formula>AND($A420&lt;&gt;"COMPOSICAO",$A420&lt;&gt;"INSUMO",$A420&lt;&gt;"")</formula>
    </cfRule>
    <cfRule type="expression" dxfId="81" priority="122" stopIfTrue="1">
      <formula>AND(OR($A420="COMPOSICAO",$A420="INSUMO",$A420&lt;&gt;""),$A420&lt;&gt;"")</formula>
    </cfRule>
  </conditionalFormatting>
  <conditionalFormatting sqref="C438:D438">
    <cfRule type="expression" dxfId="80" priority="85" stopIfTrue="1">
      <formula>AND($A438&lt;&gt;"COMPOSICAO",$A438&lt;&gt;"INSUMO",$A438&lt;&gt;"")</formula>
    </cfRule>
    <cfRule type="expression" dxfId="79" priority="86" stopIfTrue="1">
      <formula>AND(OR($A438="COMPOSICAO",$A438="INSUMO",$A438&lt;&gt;""),$A438&lt;&gt;"")</formula>
    </cfRule>
  </conditionalFormatting>
  <conditionalFormatting sqref="F444:H444">
    <cfRule type="expression" dxfId="78" priority="81" stopIfTrue="1">
      <formula>AND($A444&lt;&gt;"COMPOSICAO",$A444&lt;&gt;"INSUMO",$A444&lt;&gt;"")</formula>
    </cfRule>
    <cfRule type="expression" dxfId="77" priority="82" stopIfTrue="1">
      <formula>AND(OR($A444="COMPOSICAO",$A444="INSUMO",$A444&lt;&gt;""),$A444&lt;&gt;"")</formula>
    </cfRule>
  </conditionalFormatting>
  <conditionalFormatting sqref="C445:D447">
    <cfRule type="expression" dxfId="76" priority="79" stopIfTrue="1">
      <formula>AND($A445&lt;&gt;"COMPOSICAO",$A445&lt;&gt;"INSUMO",$A445&lt;&gt;"")</formula>
    </cfRule>
    <cfRule type="expression" dxfId="75" priority="80" stopIfTrue="1">
      <formula>AND(OR($A445="COMPOSICAO",$A445="INSUMO",$A445&lt;&gt;""),$A445&lt;&gt;"")</formula>
    </cfRule>
  </conditionalFormatting>
  <conditionalFormatting sqref="C427:D432">
    <cfRule type="expression" dxfId="74" priority="111" stopIfTrue="1">
      <formula>AND($A427&lt;&gt;"COMPOSICAO",$A427&lt;&gt;"INSUMO",$A427&lt;&gt;"")</formula>
    </cfRule>
    <cfRule type="expression" dxfId="73" priority="112" stopIfTrue="1">
      <formula>AND(OR($A427="COMPOSICAO",$A427="INSUMO",$A427&lt;&gt;""),$A427&lt;&gt;"")</formula>
    </cfRule>
  </conditionalFormatting>
  <conditionalFormatting sqref="C433">
    <cfRule type="expression" dxfId="72" priority="109" stopIfTrue="1">
      <formula>AND($A433&lt;&gt;"COMPOSICAO",$A433&lt;&gt;"INSUMO",$A433&lt;&gt;"")</formula>
    </cfRule>
    <cfRule type="expression" dxfId="71" priority="110" stopIfTrue="1">
      <formula>AND(OR($A433="COMPOSICAO",$A433="INSUMO",$A433&lt;&gt;""),$A433&lt;&gt;"")</formula>
    </cfRule>
  </conditionalFormatting>
  <conditionalFormatting sqref="D433">
    <cfRule type="expression" dxfId="70" priority="105" stopIfTrue="1">
      <formula>AND($A433&lt;&gt;"COMPOSICAO",$A433&lt;&gt;"INSUMO",$A433&lt;&gt;"")</formula>
    </cfRule>
    <cfRule type="expression" dxfId="69" priority="106" stopIfTrue="1">
      <formula>AND(OR($A433="COMPOSICAO",$A433="INSUMO",$A433&lt;&gt;""),$A433&lt;&gt;"")</formula>
    </cfRule>
  </conditionalFormatting>
  <conditionalFormatting sqref="D440">
    <cfRule type="expression" dxfId="68" priority="91" stopIfTrue="1">
      <formula>AND($A440&lt;&gt;"COMPOSICAO",$A440&lt;&gt;"INSUMO",$A440&lt;&gt;"")</formula>
    </cfRule>
    <cfRule type="expression" dxfId="67" priority="92" stopIfTrue="1">
      <formula>AND(OR($A440="COMPOSICAO",$A440="INSUMO",$A440&lt;&gt;""),$A440&lt;&gt;"")</formula>
    </cfRule>
  </conditionalFormatting>
  <conditionalFormatting sqref="G438:H439 H440">
    <cfRule type="expression" dxfId="66" priority="101" stopIfTrue="1">
      <formula>AND($A438&lt;&gt;"COMPOSICAO",$A438&lt;&gt;"INSUMO",$A438&lt;&gt;"")</formula>
    </cfRule>
    <cfRule type="expression" dxfId="65" priority="102" stopIfTrue="1">
      <formula>AND(OR($A438="COMPOSICAO",$A438="INSUMO",$A438&lt;&gt;""),$A438&lt;&gt;"")</formula>
    </cfRule>
  </conditionalFormatting>
  <conditionalFormatting sqref="F437:H437">
    <cfRule type="expression" dxfId="64" priority="99" stopIfTrue="1">
      <formula>AND($A437&lt;&gt;"COMPOSICAO",$A437&lt;&gt;"INSUMO",$A437&lt;&gt;"")</formula>
    </cfRule>
    <cfRule type="expression" dxfId="63" priority="100" stopIfTrue="1">
      <formula>AND(OR($A437="COMPOSICAO",$A437="INSUMO",$A437&lt;&gt;""),$A437&lt;&gt;"")</formula>
    </cfRule>
  </conditionalFormatting>
  <conditionalFormatting sqref="C439:D439">
    <cfRule type="expression" dxfId="62" priority="97" stopIfTrue="1">
      <formula>AND($A439&lt;&gt;"COMPOSICAO",$A439&lt;&gt;"INSUMO",$A439&lt;&gt;"")</formula>
    </cfRule>
    <cfRule type="expression" dxfId="61" priority="98" stopIfTrue="1">
      <formula>AND(OR($A439="COMPOSICAO",$A439="INSUMO",$A439&lt;&gt;""),$A439&lt;&gt;"")</formula>
    </cfRule>
  </conditionalFormatting>
  <conditionalFormatting sqref="C440">
    <cfRule type="expression" dxfId="60" priority="95" stopIfTrue="1">
      <formula>AND($A440&lt;&gt;"COMPOSICAO",$A440&lt;&gt;"INSUMO",$A440&lt;&gt;"")</formula>
    </cfRule>
    <cfRule type="expression" dxfId="59" priority="96" stopIfTrue="1">
      <formula>AND(OR($A440="COMPOSICAO",$A440="INSUMO",$A440&lt;&gt;""),$A440&lt;&gt;"")</formula>
    </cfRule>
  </conditionalFormatting>
  <conditionalFormatting sqref="G440">
    <cfRule type="expression" dxfId="58" priority="93" stopIfTrue="1">
      <formula>AND($A440&lt;&gt;"COMPOSICAO",$A440&lt;&gt;"INSUMO",$A440&lt;&gt;"")</formula>
    </cfRule>
    <cfRule type="expression" dxfId="57" priority="94" stopIfTrue="1">
      <formula>AND(OR($A440="COMPOSICAO",$A440="INSUMO",$A440&lt;&gt;""),$A440&lt;&gt;"")</formula>
    </cfRule>
  </conditionalFormatting>
  <conditionalFormatting sqref="G429:G433">
    <cfRule type="expression" dxfId="56" priority="89" stopIfTrue="1">
      <formula>AND($A429&lt;&gt;"COMPOSICAO",$A429&lt;&gt;"INSUMO",$A429&lt;&gt;"")</formula>
    </cfRule>
    <cfRule type="expression" dxfId="55" priority="90" stopIfTrue="1">
      <formula>AND(OR($A429="COMPOSICAO",$A429="INSUMO",$A429&lt;&gt;""),$A429&lt;&gt;"")</formula>
    </cfRule>
  </conditionalFormatting>
  <conditionalFormatting sqref="G452:H454">
    <cfRule type="expression" dxfId="54" priority="69" stopIfTrue="1">
      <formula>AND($A452&lt;&gt;"COMPOSICAO",$A452&lt;&gt;"INSUMO",$A452&lt;&gt;"")</formula>
    </cfRule>
    <cfRule type="expression" dxfId="53" priority="70" stopIfTrue="1">
      <formula>AND(OR($A452="COMPOSICAO",$A452="INSUMO",$A452&lt;&gt;""),$A452&lt;&gt;"")</formula>
    </cfRule>
  </conditionalFormatting>
  <conditionalFormatting sqref="F451:H451">
    <cfRule type="expression" dxfId="52" priority="67" stopIfTrue="1">
      <formula>AND($A451&lt;&gt;"COMPOSICAO",$A451&lt;&gt;"INSUMO",$A451&lt;&gt;"")</formula>
    </cfRule>
    <cfRule type="expression" dxfId="51" priority="68" stopIfTrue="1">
      <formula>AND(OR($A451="COMPOSICAO",$A451="INSUMO",$A451&lt;&gt;""),$A451&lt;&gt;"")</formula>
    </cfRule>
  </conditionalFormatting>
  <conditionalFormatting sqref="C452:D454">
    <cfRule type="expression" dxfId="50" priority="65" stopIfTrue="1">
      <formula>AND($A452&lt;&gt;"COMPOSICAO",$A452&lt;&gt;"INSUMO",$A452&lt;&gt;"")</formula>
    </cfRule>
    <cfRule type="expression" dxfId="49" priority="66" stopIfTrue="1">
      <formula>AND(OR($A452="COMPOSICAO",$A452="INSUMO",$A452&lt;&gt;""),$A452&lt;&gt;"")</formula>
    </cfRule>
  </conditionalFormatting>
  <conditionalFormatting sqref="F458:H458">
    <cfRule type="expression" dxfId="48" priority="61" stopIfTrue="1">
      <formula>AND($A458&lt;&gt;"COMPOSICAO",$A458&lt;&gt;"INSUMO",$A458&lt;&gt;"")</formula>
    </cfRule>
    <cfRule type="expression" dxfId="47" priority="62" stopIfTrue="1">
      <formula>AND(OR($A458="COMPOSICAO",$A458="INSUMO",$A458&lt;&gt;""),$A458&lt;&gt;"")</formula>
    </cfRule>
  </conditionalFormatting>
  <conditionalFormatting sqref="G470:H472">
    <cfRule type="expression" dxfId="46" priority="57" stopIfTrue="1">
      <formula>AND($A470&lt;&gt;"COMPOSICAO",$A470&lt;&gt;"INSUMO",$A470&lt;&gt;"")</formula>
    </cfRule>
    <cfRule type="expression" dxfId="45" priority="58" stopIfTrue="1">
      <formula>AND(OR($A470="COMPOSICAO",$A470="INSUMO",$A470&lt;&gt;""),$A470&lt;&gt;"")</formula>
    </cfRule>
  </conditionalFormatting>
  <conditionalFormatting sqref="F469:H469">
    <cfRule type="expression" dxfId="44" priority="55" stopIfTrue="1">
      <formula>AND($A469&lt;&gt;"COMPOSICAO",$A469&lt;&gt;"INSUMO",$A469&lt;&gt;"")</formula>
    </cfRule>
    <cfRule type="expression" dxfId="43" priority="56" stopIfTrue="1">
      <formula>AND(OR($A469="COMPOSICAO",$A469="INSUMO",$A469&lt;&gt;""),$A469&lt;&gt;"")</formula>
    </cfRule>
  </conditionalFormatting>
  <conditionalFormatting sqref="C470:D472">
    <cfRule type="expression" dxfId="42" priority="53" stopIfTrue="1">
      <formula>AND($A470&lt;&gt;"COMPOSICAO",$A470&lt;&gt;"INSUMO",$A470&lt;&gt;"")</formula>
    </cfRule>
    <cfRule type="expression" dxfId="41" priority="54" stopIfTrue="1">
      <formula>AND(OR($A470="COMPOSICAO",$A470="INSUMO",$A470&lt;&gt;""),$A470&lt;&gt;"")</formula>
    </cfRule>
  </conditionalFormatting>
  <conditionalFormatting sqref="F476:H476">
    <cfRule type="expression" dxfId="40" priority="49" stopIfTrue="1">
      <formula>AND($A476&lt;&gt;"COMPOSICAO",$A476&lt;&gt;"INSUMO",$A476&lt;&gt;"")</formula>
    </cfRule>
    <cfRule type="expression" dxfId="39" priority="50" stopIfTrue="1">
      <formula>AND(OR($A476="COMPOSICAO",$A476="INSUMO",$A476&lt;&gt;""),$A476&lt;&gt;"")</formula>
    </cfRule>
  </conditionalFormatting>
  <conditionalFormatting sqref="G482:H482 G484 H483:H484">
    <cfRule type="expression" dxfId="38" priority="45" stopIfTrue="1">
      <formula>AND($A482&lt;&gt;"COMPOSICAO",$A482&lt;&gt;"INSUMO",$A482&lt;&gt;"")</formula>
    </cfRule>
    <cfRule type="expression" dxfId="37" priority="46" stopIfTrue="1">
      <formula>AND(OR($A482="COMPOSICAO",$A482="INSUMO",$A482&lt;&gt;""),$A482&lt;&gt;"")</formula>
    </cfRule>
  </conditionalFormatting>
  <conditionalFormatting sqref="F481:H481">
    <cfRule type="expression" dxfId="36" priority="43" stopIfTrue="1">
      <formula>AND($A481&lt;&gt;"COMPOSICAO",$A481&lt;&gt;"INSUMO",$A481&lt;&gt;"")</formula>
    </cfRule>
    <cfRule type="expression" dxfId="35" priority="44" stopIfTrue="1">
      <formula>AND(OR($A481="COMPOSICAO",$A481="INSUMO",$A481&lt;&gt;""),$A481&lt;&gt;"")</formula>
    </cfRule>
  </conditionalFormatting>
  <conditionalFormatting sqref="C482:D482 C484:D484">
    <cfRule type="expression" dxfId="34" priority="41" stopIfTrue="1">
      <formula>AND($A482&lt;&gt;"COMPOSICAO",$A482&lt;&gt;"INSUMO",$A482&lt;&gt;"")</formula>
    </cfRule>
    <cfRule type="expression" dxfId="33" priority="42" stopIfTrue="1">
      <formula>AND(OR($A482="COMPOSICAO",$A482="INSUMO",$A482&lt;&gt;""),$A482&lt;&gt;"")</formula>
    </cfRule>
  </conditionalFormatting>
  <conditionalFormatting sqref="C483">
    <cfRule type="expression" dxfId="32" priority="35" stopIfTrue="1">
      <formula>AND($A483&lt;&gt;"COMPOSICAO",$A483&lt;&gt;"INSUMO",$A483&lt;&gt;"")</formula>
    </cfRule>
    <cfRule type="expression" dxfId="31" priority="36" stopIfTrue="1">
      <formula>AND(OR($A483="COMPOSICAO",$A483="INSUMO",$A483&lt;&gt;""),$A483&lt;&gt;"")</formula>
    </cfRule>
  </conditionalFormatting>
  <conditionalFormatting sqref="D483">
    <cfRule type="expression" dxfId="30" priority="33" stopIfTrue="1">
      <formula>AND($A483&lt;&gt;"COMPOSICAO",$A483&lt;&gt;"INSUMO",$A483&lt;&gt;"")</formula>
    </cfRule>
    <cfRule type="expression" dxfId="29" priority="34" stopIfTrue="1">
      <formula>AND(OR($A483="COMPOSICAO",$A483="INSUMO",$A483&lt;&gt;""),$A483&lt;&gt;"")</formula>
    </cfRule>
  </conditionalFormatting>
  <conditionalFormatting sqref="G483">
    <cfRule type="expression" dxfId="28" priority="31" stopIfTrue="1">
      <formula>AND($A483&lt;&gt;"COMPOSICAO",$A483&lt;&gt;"INSUMO",$A483&lt;&gt;"")</formula>
    </cfRule>
    <cfRule type="expression" dxfId="27" priority="32" stopIfTrue="1">
      <formula>AND(OR($A483="COMPOSICAO",$A483="INSUMO",$A483&lt;&gt;""),$A483&lt;&gt;"")</formula>
    </cfRule>
  </conditionalFormatting>
  <conditionalFormatting sqref="G488:H488 C488:D488">
    <cfRule type="expression" dxfId="26" priority="29" stopIfTrue="1">
      <formula>AND($A488&lt;&gt;"COMPOSICAO",$A488&lt;&gt;"INSUMO",$A488&lt;&gt;"")</formula>
    </cfRule>
    <cfRule type="expression" dxfId="25" priority="30" stopIfTrue="1">
      <formula>AND(OR($A488="COMPOSICAO",$A488="INSUMO",$A488&lt;&gt;""),$A488&lt;&gt;"")</formula>
    </cfRule>
  </conditionalFormatting>
  <conditionalFormatting sqref="F487:H487">
    <cfRule type="expression" dxfId="24" priority="27" stopIfTrue="1">
      <formula>AND($A487&lt;&gt;"COMPOSICAO",$A487&lt;&gt;"INSUMO",$A487&lt;&gt;"")</formula>
    </cfRule>
    <cfRule type="expression" dxfId="23" priority="28" stopIfTrue="1">
      <formula>AND(OR($A487="COMPOSICAO",$A487="INSUMO",$A487&lt;&gt;""),$A487&lt;&gt;"")</formula>
    </cfRule>
  </conditionalFormatting>
  <conditionalFormatting sqref="G495:H495 C495:D495">
    <cfRule type="expression" dxfId="22" priority="25" stopIfTrue="1">
      <formula>AND($A495&lt;&gt;"COMPOSICAO",$A495&lt;&gt;"INSUMO",$A495&lt;&gt;"")</formula>
    </cfRule>
    <cfRule type="expression" dxfId="21" priority="26" stopIfTrue="1">
      <formula>AND(OR($A495="COMPOSICAO",$A495="INSUMO",$A495&lt;&gt;""),$A495&lt;&gt;"")</formula>
    </cfRule>
  </conditionalFormatting>
  <conditionalFormatting sqref="F494:H494">
    <cfRule type="expression" dxfId="20" priority="23" stopIfTrue="1">
      <formula>AND($A494&lt;&gt;"COMPOSICAO",$A494&lt;&gt;"INSUMO",$A494&lt;&gt;"")</formula>
    </cfRule>
    <cfRule type="expression" dxfId="19" priority="24" stopIfTrue="1">
      <formula>AND(OR($A494="COMPOSICAO",$A494="INSUMO",$A494&lt;&gt;""),$A494&lt;&gt;"")</formula>
    </cfRule>
  </conditionalFormatting>
  <conditionalFormatting sqref="G500:H500 C500:D500">
    <cfRule type="expression" dxfId="18" priority="21" stopIfTrue="1">
      <formula>AND($A500&lt;&gt;"COMPOSICAO",$A500&lt;&gt;"INSUMO",$A500&lt;&gt;"")</formula>
    </cfRule>
    <cfRule type="expression" dxfId="17" priority="22" stopIfTrue="1">
      <formula>AND(OR($A500="COMPOSICAO",$A500="INSUMO",$A500&lt;&gt;""),$A500&lt;&gt;"")</formula>
    </cfRule>
  </conditionalFormatting>
  <conditionalFormatting sqref="F499:H499">
    <cfRule type="expression" dxfId="16" priority="19" stopIfTrue="1">
      <formula>AND($A499&lt;&gt;"COMPOSICAO",$A499&lt;&gt;"INSUMO",$A499&lt;&gt;"")</formula>
    </cfRule>
    <cfRule type="expression" dxfId="15" priority="20" stopIfTrue="1">
      <formula>AND(OR($A499="COMPOSICAO",$A499="INSUMO",$A499&lt;&gt;""),$A499&lt;&gt;"")</formula>
    </cfRule>
  </conditionalFormatting>
  <conditionalFormatting sqref="G261:G268">
    <cfRule type="expression" dxfId="14" priority="13" stopIfTrue="1">
      <formula>AND($A261&lt;&gt;"COMPOSICAO",$A261&lt;&gt;"INSUMO",$A261&lt;&gt;"")</formula>
    </cfRule>
    <cfRule type="expression" dxfId="13" priority="14" stopIfTrue="1">
      <formula>AND(OR($A261="COMPOSICAO",$A261="INSUMO",$A261&lt;&gt;""),$A261&lt;&gt;"")</formula>
    </cfRule>
  </conditionalFormatting>
  <conditionalFormatting sqref="C382:D384">
    <cfRule type="expression" dxfId="12" priority="11" stopIfTrue="1">
      <formula>AND($A382&lt;&gt;"COMPOSICAO",$A382&lt;&gt;"INSUMO",$A382&lt;&gt;"")</formula>
    </cfRule>
    <cfRule type="expression" dxfId="11" priority="12" stopIfTrue="1">
      <formula>AND(OR($A382="COMPOSICAO",$A382="INSUMO",$A382&lt;&gt;""),$A382&lt;&gt;"")</formula>
    </cfRule>
  </conditionalFormatting>
  <conditionalFormatting sqref="G381:H384">
    <cfRule type="expression" dxfId="10" priority="9" stopIfTrue="1">
      <formula>AND($A381&lt;&gt;"COMPOSICAO",$A381&lt;&gt;"INSUMO",$A381&lt;&gt;"")</formula>
    </cfRule>
    <cfRule type="expression" dxfId="9" priority="10" stopIfTrue="1">
      <formula>AND(OR($A381="COMPOSICAO",$A381="INSUMO",$A381&lt;&gt;""),$A381&lt;&gt;"")</formula>
    </cfRule>
  </conditionalFormatting>
  <conditionalFormatting sqref="F380:H380">
    <cfRule type="expression" dxfId="8" priority="7" stopIfTrue="1">
      <formula>AND($A380&lt;&gt;"COMPOSICAO",$A380&lt;&gt;"INSUMO",$A380&lt;&gt;"")</formula>
    </cfRule>
    <cfRule type="expression" dxfId="7" priority="8" stopIfTrue="1">
      <formula>AND(OR($A380="COMPOSICAO",$A380="INSUMO",$A380&lt;&gt;""),$A380&lt;&gt;"")</formula>
    </cfRule>
  </conditionalFormatting>
  <conditionalFormatting sqref="C381:D381">
    <cfRule type="expression" dxfId="6" priority="1" stopIfTrue="1">
      <formula>AND($A381&lt;&gt;"COMPOSICAO",$A381&lt;&gt;"INSUMO",$A381&lt;&gt;"")</formula>
    </cfRule>
    <cfRule type="expression" dxfId="5" priority="2" stopIfTrue="1">
      <formula>AND(OR($A381="COMPOSICAO",$A381="INSUMO",$A381&lt;&gt;""),$A381&lt;&gt;"")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42" orientation="portrait" horizontalDpi="300" verticalDpi="300" r:id="rId1"/>
  <rowBreaks count="2" manualBreakCount="2">
    <brk id="349" max="7" man="1"/>
    <brk id="42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62"/>
  <sheetViews>
    <sheetView showZeros="0" view="pageBreakPreview" topLeftCell="A16" zoomScale="70" zoomScaleNormal="60" zoomScaleSheetLayoutView="70" workbookViewId="0">
      <selection activeCell="J57" sqref="J57"/>
    </sheetView>
  </sheetViews>
  <sheetFormatPr defaultColWidth="11.42578125" defaultRowHeight="12.75" x14ac:dyDescent="0.25"/>
  <cols>
    <col min="1" max="1" width="10.85546875" style="37" customWidth="1"/>
    <col min="2" max="2" width="55.42578125" style="16" customWidth="1"/>
    <col min="3" max="3" width="20" style="38" customWidth="1"/>
    <col min="4" max="4" width="12.140625" style="38" customWidth="1"/>
    <col min="5" max="5" width="20.140625" style="39" customWidth="1"/>
    <col min="6" max="6" width="20.140625" style="40" customWidth="1"/>
    <col min="7" max="7" width="11.85546875" style="16" customWidth="1"/>
    <col min="8" max="8" width="20.140625" style="16" customWidth="1"/>
    <col min="9" max="9" width="11.28515625" style="16" customWidth="1"/>
    <col min="10" max="10" width="20.140625" style="16" customWidth="1"/>
    <col min="11" max="11" width="13" style="16" customWidth="1"/>
    <col min="12" max="12" width="17.85546875" style="16" customWidth="1"/>
    <col min="13" max="13" width="15.140625" style="16" customWidth="1"/>
    <col min="14" max="14" width="19.28515625" style="16" customWidth="1"/>
    <col min="15" max="15" width="18.28515625" style="17" customWidth="1"/>
    <col min="16" max="16" width="11.42578125" style="17" customWidth="1"/>
    <col min="17" max="17" width="19.140625" style="16" customWidth="1"/>
    <col min="18" max="18" width="14.28515625" style="16" bestFit="1" customWidth="1"/>
    <col min="19" max="16384" width="11.42578125" style="16"/>
  </cols>
  <sheetData>
    <row r="1" spans="1:19" s="101" customFormat="1" ht="30" customHeight="1" x14ac:dyDescent="0.25">
      <c r="A1" s="580" t="s">
        <v>163</v>
      </c>
      <c r="B1" s="580"/>
      <c r="C1" s="580"/>
      <c r="D1" s="580"/>
      <c r="E1" s="580"/>
      <c r="F1" s="103"/>
      <c r="G1" s="104"/>
      <c r="H1" s="105"/>
      <c r="I1" s="105"/>
      <c r="J1" s="105"/>
      <c r="K1" s="99"/>
      <c r="L1" s="99"/>
      <c r="M1" s="99"/>
      <c r="N1" s="100"/>
      <c r="O1" s="102"/>
      <c r="P1" s="102"/>
    </row>
    <row r="2" spans="1:19" s="101" customFormat="1" ht="25.5" customHeight="1" x14ac:dyDescent="0.25">
      <c r="A2" s="572" t="s">
        <v>164</v>
      </c>
      <c r="B2" s="572"/>
      <c r="C2" s="572"/>
      <c r="D2" s="572"/>
      <c r="E2" s="572"/>
      <c r="F2" s="103"/>
      <c r="G2" s="104"/>
      <c r="H2" s="105"/>
      <c r="I2" s="105"/>
      <c r="J2" s="105"/>
      <c r="K2" s="411"/>
      <c r="L2" s="411"/>
      <c r="M2" s="411"/>
      <c r="N2" s="412"/>
    </row>
    <row r="3" spans="1:19" s="101" customFormat="1" ht="23.25" customHeight="1" x14ac:dyDescent="0.25">
      <c r="A3" s="598">
        <f>SERVIÇOS!A5</f>
        <v>0</v>
      </c>
      <c r="B3" s="582"/>
      <c r="C3" s="582"/>
      <c r="D3" s="582"/>
      <c r="E3" s="582"/>
      <c r="F3" s="103"/>
      <c r="G3" s="104"/>
      <c r="H3" s="105"/>
      <c r="I3" s="105"/>
      <c r="J3" s="105"/>
      <c r="K3" s="105"/>
      <c r="L3" s="105"/>
      <c r="M3" s="105"/>
      <c r="N3" s="106"/>
      <c r="O3" s="102"/>
      <c r="P3" s="102"/>
    </row>
    <row r="4" spans="1:19" s="101" customFormat="1" ht="20.25" x14ac:dyDescent="0.25">
      <c r="A4" s="401" t="s">
        <v>6</v>
      </c>
      <c r="B4" s="1"/>
      <c r="C4" s="2"/>
      <c r="D4" s="396"/>
      <c r="E4" s="401" t="s">
        <v>8</v>
      </c>
      <c r="F4" s="103"/>
      <c r="G4" s="104"/>
      <c r="H4" s="105"/>
      <c r="I4" s="105"/>
      <c r="J4" s="105"/>
      <c r="K4" s="105"/>
      <c r="L4" s="105"/>
      <c r="M4" s="105"/>
      <c r="N4" s="106"/>
      <c r="O4" s="102"/>
      <c r="P4" s="102"/>
    </row>
    <row r="5" spans="1:19" s="110" customFormat="1" ht="40.15" customHeight="1" x14ac:dyDescent="0.2">
      <c r="A5" s="592" t="str">
        <f>SERVIÇOS!A7</f>
        <v>serviços de engenharia para conclusão de serviços no edifício do Biotério do Instituto
Multidisciplinar de Saúde</v>
      </c>
      <c r="B5" s="592"/>
      <c r="C5" s="592"/>
      <c r="D5" s="592"/>
      <c r="E5" s="599">
        <f ca="1">NOW()</f>
        <v>44474.611615624999</v>
      </c>
      <c r="F5" s="600"/>
      <c r="G5" s="107"/>
      <c r="H5" s="108"/>
      <c r="I5" s="108"/>
      <c r="J5" s="108"/>
      <c r="K5" s="108"/>
      <c r="L5" s="108"/>
      <c r="M5" s="108"/>
      <c r="N5" s="109"/>
      <c r="O5" s="111"/>
      <c r="P5" s="111"/>
    </row>
    <row r="6" spans="1:19" ht="18" customHeight="1" x14ac:dyDescent="0.3">
      <c r="A6" s="594" t="s">
        <v>7</v>
      </c>
      <c r="B6" s="594"/>
      <c r="C6" s="2"/>
      <c r="D6" s="140"/>
      <c r="E6" s="401" t="s">
        <v>13</v>
      </c>
      <c r="F6" s="103"/>
      <c r="G6" s="595" t="s">
        <v>14</v>
      </c>
      <c r="H6" s="595"/>
      <c r="I6" s="105"/>
      <c r="J6" s="398" t="s">
        <v>15</v>
      </c>
      <c r="K6" s="413"/>
      <c r="L6" s="413"/>
      <c r="M6" s="413"/>
      <c r="N6" s="414"/>
    </row>
    <row r="7" spans="1:19" ht="20.25" x14ac:dyDescent="0.3">
      <c r="A7" s="142" t="str">
        <f>SERVIÇOS!A9</f>
        <v>UFBA - CAMPUS VITORIA DA CONQUISTA</v>
      </c>
      <c r="B7" s="142"/>
      <c r="C7" s="397"/>
      <c r="D7" s="417"/>
      <c r="E7" s="596"/>
      <c r="F7" s="596"/>
      <c r="G7" s="597">
        <f>SERVIÇOS!G155</f>
        <v>577238.39330955641</v>
      </c>
      <c r="H7" s="597"/>
      <c r="I7" s="105"/>
      <c r="J7" s="418"/>
      <c r="K7" s="415"/>
      <c r="L7" s="415"/>
      <c r="M7" s="415"/>
      <c r="N7" s="416"/>
      <c r="O7" s="16"/>
      <c r="P7" s="16"/>
    </row>
    <row r="8" spans="1:19" ht="13.5" customHeight="1" x14ac:dyDescent="0.3">
      <c r="A8" s="601" t="s">
        <v>16</v>
      </c>
      <c r="B8" s="602"/>
      <c r="C8" s="602"/>
      <c r="D8" s="602"/>
      <c r="E8" s="602"/>
      <c r="F8" s="602"/>
      <c r="G8" s="602"/>
      <c r="H8" s="602"/>
      <c r="I8" s="602"/>
      <c r="J8" s="602"/>
      <c r="K8" s="603"/>
      <c r="L8" s="603"/>
      <c r="M8" s="603"/>
      <c r="N8" s="604"/>
      <c r="O8" s="135" t="s">
        <v>245</v>
      </c>
      <c r="P8" s="135">
        <v>0.25</v>
      </c>
    </row>
    <row r="9" spans="1:19" ht="14.1" customHeight="1" x14ac:dyDescent="0.3">
      <c r="A9" s="576" t="s">
        <v>17</v>
      </c>
      <c r="B9" s="577" t="s">
        <v>18</v>
      </c>
      <c r="C9" s="578" t="s">
        <v>19</v>
      </c>
      <c r="D9" s="605" t="s">
        <v>0</v>
      </c>
      <c r="E9" s="578" t="s">
        <v>105</v>
      </c>
      <c r="F9" s="606" t="s">
        <v>106</v>
      </c>
      <c r="G9" s="574" t="s">
        <v>20</v>
      </c>
      <c r="H9" s="574"/>
      <c r="I9" s="574" t="s">
        <v>21</v>
      </c>
      <c r="J9" s="575"/>
      <c r="K9" s="574" t="s">
        <v>246</v>
      </c>
      <c r="L9" s="574"/>
      <c r="M9" s="574" t="s">
        <v>247</v>
      </c>
      <c r="N9" s="574"/>
      <c r="O9" s="135" t="s">
        <v>245</v>
      </c>
      <c r="P9" s="135">
        <v>0.16</v>
      </c>
      <c r="Q9" s="101"/>
      <c r="R9" s="101"/>
      <c r="S9" s="101"/>
    </row>
    <row r="10" spans="1:19" ht="14.1" customHeight="1" x14ac:dyDescent="0.25">
      <c r="A10" s="576"/>
      <c r="B10" s="577"/>
      <c r="C10" s="578"/>
      <c r="D10" s="605"/>
      <c r="E10" s="578"/>
      <c r="F10" s="606"/>
      <c r="G10" s="403" t="s">
        <v>0</v>
      </c>
      <c r="H10" s="403" t="s">
        <v>22</v>
      </c>
      <c r="I10" s="403" t="s">
        <v>0</v>
      </c>
      <c r="J10" s="419" t="s">
        <v>22</v>
      </c>
      <c r="K10" s="403" t="s">
        <v>0</v>
      </c>
      <c r="L10" s="419" t="s">
        <v>22</v>
      </c>
      <c r="M10" s="403" t="s">
        <v>0</v>
      </c>
      <c r="N10" s="419" t="s">
        <v>22</v>
      </c>
      <c r="O10" s="134"/>
      <c r="P10" s="102"/>
      <c r="Q10" s="101"/>
      <c r="R10" s="101"/>
      <c r="S10" s="101"/>
    </row>
    <row r="11" spans="1:19" s="21" customFormat="1" ht="25.5" customHeight="1" x14ac:dyDescent="0.3">
      <c r="A11" s="112">
        <v>1</v>
      </c>
      <c r="B11" s="113" t="str">
        <f>SERVIÇOS!C12</f>
        <v>MOBILIZAÇÃO E SERVIÇOS PRELIMINARES</v>
      </c>
      <c r="C11" s="115">
        <f>SERVIÇOS!G12</f>
        <v>8146.5355999999983</v>
      </c>
      <c r="D11" s="123">
        <f>F11/$G$7</f>
        <v>1.7641185371637357E-2</v>
      </c>
      <c r="E11" s="120">
        <f>$P$8*C11</f>
        <v>2036.6338999999996</v>
      </c>
      <c r="F11" s="120">
        <f>C11+E11</f>
        <v>10183.169499999998</v>
      </c>
      <c r="G11" s="127">
        <v>1</v>
      </c>
      <c r="H11" s="426">
        <f>F11*G11</f>
        <v>10183.169499999998</v>
      </c>
      <c r="I11" s="64"/>
      <c r="J11" s="420">
        <f t="shared" ref="J11" si="0">I11*F11</f>
        <v>0</v>
      </c>
      <c r="K11" s="425"/>
      <c r="L11" s="425"/>
      <c r="M11" s="425"/>
      <c r="N11" s="425"/>
      <c r="O11" s="135"/>
      <c r="P11" s="427">
        <f>G11+I11+K11+M11</f>
        <v>1</v>
      </c>
      <c r="Q11" s="137">
        <v>30</v>
      </c>
      <c r="R11" s="137">
        <f>H24</f>
        <v>81181.728516997217</v>
      </c>
      <c r="S11" s="139"/>
    </row>
    <row r="12" spans="1:19" s="21" customFormat="1" ht="36" customHeight="1" x14ac:dyDescent="0.3">
      <c r="A12" s="112">
        <v>3</v>
      </c>
      <c r="B12" s="114" t="str">
        <f>SERVIÇOS!C31</f>
        <v>PAVIMENTAÇÃO</v>
      </c>
      <c r="C12" s="115">
        <f>SERVIÇOS!G31</f>
        <v>118269.02651847999</v>
      </c>
      <c r="D12" s="123">
        <f t="shared" ref="D12:D15" si="1">F12/$G$7</f>
        <v>0.25610958117406379</v>
      </c>
      <c r="E12" s="120">
        <f t="shared" ref="E12:E14" si="2">$P$8*C12</f>
        <v>29567.256629619998</v>
      </c>
      <c r="F12" s="120">
        <f t="shared" ref="F12:F15" si="3">C12+E12</f>
        <v>147836.28314809999</v>
      </c>
      <c r="G12" s="127">
        <v>0.2</v>
      </c>
      <c r="H12" s="426">
        <f t="shared" ref="H12:H15" si="4">F12*G12</f>
        <v>29567.256629619998</v>
      </c>
      <c r="I12" s="127">
        <v>0.3</v>
      </c>
      <c r="J12" s="426">
        <f>F12*I12</f>
        <v>44350.884944429992</v>
      </c>
      <c r="K12" s="127">
        <v>0.3</v>
      </c>
      <c r="L12" s="426">
        <f>F12*K12</f>
        <v>44350.884944429992</v>
      </c>
      <c r="M12" s="127">
        <v>0.2</v>
      </c>
      <c r="N12" s="426">
        <f>F12*M12</f>
        <v>29567.256629619998</v>
      </c>
      <c r="O12" s="135"/>
      <c r="P12" s="427">
        <f t="shared" ref="P12:P15" si="5">G12+I12+K12+M12</f>
        <v>1</v>
      </c>
      <c r="Q12" s="137">
        <v>60</v>
      </c>
      <c r="R12" s="137">
        <f>J24</f>
        <v>104325.05931412661</v>
      </c>
      <c r="S12" s="139"/>
    </row>
    <row r="13" spans="1:19" s="21" customFormat="1" ht="25.5" customHeight="1" x14ac:dyDescent="0.3">
      <c r="A13" s="112">
        <v>4</v>
      </c>
      <c r="B13" s="114" t="str">
        <f>SERVIÇOS!C47</f>
        <v>INSTALAÇÕES ELÉTRICAS</v>
      </c>
      <c r="C13" s="115">
        <f>SERVIÇOS!G47</f>
        <v>125286.26212916512</v>
      </c>
      <c r="D13" s="123">
        <f t="shared" si="1"/>
        <v>0.27130528647541313</v>
      </c>
      <c r="E13" s="120">
        <f t="shared" si="2"/>
        <v>31321.565532291279</v>
      </c>
      <c r="F13" s="120">
        <f t="shared" si="3"/>
        <v>156607.82766145639</v>
      </c>
      <c r="G13" s="127">
        <v>0.2</v>
      </c>
      <c r="H13" s="426">
        <f t="shared" si="4"/>
        <v>31321.565532291279</v>
      </c>
      <c r="I13" s="127">
        <v>0.3</v>
      </c>
      <c r="J13" s="426">
        <f t="shared" ref="J13:J15" si="6">F13*I13</f>
        <v>46982.348298436918</v>
      </c>
      <c r="K13" s="127">
        <v>0.3</v>
      </c>
      <c r="L13" s="426">
        <f t="shared" ref="L13:L15" si="7">F13*K13</f>
        <v>46982.348298436918</v>
      </c>
      <c r="M13" s="127">
        <v>0.2</v>
      </c>
      <c r="N13" s="426">
        <f t="shared" ref="N13:N15" si="8">F13*M13</f>
        <v>31321.565532291279</v>
      </c>
      <c r="O13" s="135"/>
      <c r="P13" s="427">
        <f t="shared" si="5"/>
        <v>1</v>
      </c>
      <c r="Q13" s="137">
        <v>90</v>
      </c>
      <c r="R13" s="137">
        <f>L24</f>
        <v>313754.68975452264</v>
      </c>
      <c r="S13" s="139"/>
    </row>
    <row r="14" spans="1:19" s="21" customFormat="1" ht="25.5" customHeight="1" x14ac:dyDescent="0.3">
      <c r="A14" s="112">
        <f>1+A13</f>
        <v>5</v>
      </c>
      <c r="B14" s="113" t="str">
        <f>SERVIÇOS!C141</f>
        <v>SERVIÇOS FINAIS E DESMOBILIZAÇÃO</v>
      </c>
      <c r="C14" s="115">
        <f>SERVIÇOS!G141</f>
        <v>5901.9671999999991</v>
      </c>
      <c r="D14" s="123">
        <f t="shared" si="1"/>
        <v>1.2780610377805689E-2</v>
      </c>
      <c r="E14" s="120">
        <f t="shared" si="2"/>
        <v>1475.4917999999998</v>
      </c>
      <c r="F14" s="120">
        <f t="shared" si="3"/>
        <v>7377.4589999999989</v>
      </c>
      <c r="G14" s="127"/>
      <c r="H14" s="426">
        <f t="shared" si="4"/>
        <v>0</v>
      </c>
      <c r="I14" s="127"/>
      <c r="J14" s="426">
        <f t="shared" si="6"/>
        <v>0</v>
      </c>
      <c r="K14" s="127"/>
      <c r="L14" s="426">
        <f t="shared" si="7"/>
        <v>0</v>
      </c>
      <c r="M14" s="127">
        <v>1</v>
      </c>
      <c r="N14" s="426">
        <f t="shared" si="8"/>
        <v>7377.4589999999989</v>
      </c>
      <c r="O14" s="135"/>
      <c r="P14" s="427">
        <f t="shared" si="5"/>
        <v>1</v>
      </c>
      <c r="Q14" s="137">
        <v>120</v>
      </c>
      <c r="R14" s="137">
        <f>N24</f>
        <v>77976.9157239099</v>
      </c>
      <c r="S14" s="139"/>
    </row>
    <row r="15" spans="1:19" s="21" customFormat="1" ht="25.5" customHeight="1" x14ac:dyDescent="0.3">
      <c r="A15" s="112">
        <f t="shared" ref="A15" si="9">1+A14</f>
        <v>6</v>
      </c>
      <c r="B15" s="113" t="str">
        <f>SERVIÇOS!C151</f>
        <v>EQUIPAMENTOS</v>
      </c>
      <c r="C15" s="115">
        <f>SERVIÇOS!G151</f>
        <v>158059.4</v>
      </c>
      <c r="D15" s="123">
        <f t="shared" si="1"/>
        <v>0.31763116612667031</v>
      </c>
      <c r="E15" s="120">
        <f>$P$9*C15</f>
        <v>25289.504000000001</v>
      </c>
      <c r="F15" s="120">
        <f t="shared" si="3"/>
        <v>183348.90399999998</v>
      </c>
      <c r="G15" s="127"/>
      <c r="H15" s="426">
        <f t="shared" si="4"/>
        <v>0</v>
      </c>
      <c r="I15" s="127"/>
      <c r="J15" s="426">
        <f t="shared" si="6"/>
        <v>0</v>
      </c>
      <c r="K15" s="127">
        <v>1</v>
      </c>
      <c r="L15" s="426">
        <f t="shared" si="7"/>
        <v>183348.90399999998</v>
      </c>
      <c r="M15" s="127"/>
      <c r="N15" s="426">
        <f t="shared" si="8"/>
        <v>0</v>
      </c>
      <c r="O15" s="135"/>
      <c r="P15" s="427">
        <f t="shared" si="5"/>
        <v>1</v>
      </c>
      <c r="Q15" s="137"/>
      <c r="R15" s="138"/>
      <c r="S15" s="139"/>
    </row>
    <row r="16" spans="1:19" s="21" customFormat="1" ht="18" customHeight="1" x14ac:dyDescent="0.3">
      <c r="A16" s="67"/>
      <c r="B16" s="117" t="s">
        <v>97</v>
      </c>
      <c r="C16" s="116">
        <f>SUM(C11:C14)</f>
        <v>257603.79144764511</v>
      </c>
      <c r="D16" s="124">
        <f>SUM(D11:D15)</f>
        <v>0.87546782952559021</v>
      </c>
      <c r="E16" s="116">
        <f>SUM(E11:E15)</f>
        <v>89690.451861911279</v>
      </c>
      <c r="F16" s="116">
        <f>SUM(F11:F15)</f>
        <v>505353.64330955636</v>
      </c>
      <c r="G16" s="126">
        <f>H16/F16</f>
        <v>0.14063813055044277</v>
      </c>
      <c r="H16" s="129">
        <f>SUM(H11:H15)</f>
        <v>71071.991661911277</v>
      </c>
      <c r="I16" s="126">
        <f>J16/$F$16</f>
        <v>0.18073132439439121</v>
      </c>
      <c r="J16" s="129">
        <f>SUM(J11:J15)</f>
        <v>91333.233242866903</v>
      </c>
      <c r="K16" s="126">
        <f>L16/F16</f>
        <v>0.54354438892332135</v>
      </c>
      <c r="L16" s="129">
        <f>SUM(L12:L15)</f>
        <v>274682.13724286691</v>
      </c>
      <c r="M16" s="126">
        <f>N16/F16</f>
        <v>0.13508615613184469</v>
      </c>
      <c r="N16" s="129">
        <f>SUM(N12:N15)</f>
        <v>68266.281161911276</v>
      </c>
      <c r="O16" s="135">
        <f>G16+I16</f>
        <v>0.32136945494483399</v>
      </c>
      <c r="P16" s="136"/>
      <c r="Q16" s="137"/>
      <c r="R16" s="138"/>
      <c r="S16" s="139"/>
    </row>
    <row r="17" spans="1:19" s="21" customFormat="1" ht="18" customHeight="1" x14ac:dyDescent="0.3">
      <c r="A17" s="68"/>
      <c r="B17" s="69"/>
      <c r="C17" s="70"/>
      <c r="D17" s="125"/>
      <c r="E17" s="70"/>
      <c r="F17" s="121"/>
      <c r="G17" s="130"/>
      <c r="H17" s="131"/>
      <c r="I17" s="71"/>
      <c r="J17" s="421"/>
      <c r="K17" s="425"/>
      <c r="L17" s="425"/>
      <c r="M17" s="425"/>
      <c r="N17" s="425"/>
      <c r="O17" s="135"/>
      <c r="P17" s="136"/>
      <c r="Q17" s="137"/>
      <c r="R17" s="138"/>
      <c r="S17" s="139"/>
    </row>
    <row r="18" spans="1:19" ht="14.1" customHeight="1" x14ac:dyDescent="0.25">
      <c r="A18" s="576" t="s">
        <v>17</v>
      </c>
      <c r="B18" s="577" t="s">
        <v>18</v>
      </c>
      <c r="C18" s="578" t="s">
        <v>19</v>
      </c>
      <c r="D18" s="605" t="s">
        <v>0</v>
      </c>
      <c r="E18" s="578" t="s">
        <v>105</v>
      </c>
      <c r="F18" s="606" t="s">
        <v>106</v>
      </c>
      <c r="G18" s="574" t="s">
        <v>20</v>
      </c>
      <c r="H18" s="574"/>
      <c r="I18" s="574" t="s">
        <v>21</v>
      </c>
      <c r="J18" s="575"/>
      <c r="K18" s="574" t="s">
        <v>246</v>
      </c>
      <c r="L18" s="574"/>
      <c r="M18" s="574" t="s">
        <v>247</v>
      </c>
      <c r="N18" s="575"/>
      <c r="O18" s="119"/>
      <c r="P18" s="102"/>
      <c r="Q18" s="101"/>
      <c r="R18" s="101"/>
      <c r="S18" s="101"/>
    </row>
    <row r="19" spans="1:19" ht="14.1" customHeight="1" x14ac:dyDescent="0.25">
      <c r="A19" s="576"/>
      <c r="B19" s="577"/>
      <c r="C19" s="578"/>
      <c r="D19" s="605"/>
      <c r="E19" s="578"/>
      <c r="F19" s="606"/>
      <c r="G19" s="403" t="s">
        <v>0</v>
      </c>
      <c r="H19" s="403" t="s">
        <v>22</v>
      </c>
      <c r="I19" s="403" t="s">
        <v>0</v>
      </c>
      <c r="J19" s="419" t="s">
        <v>22</v>
      </c>
      <c r="K19" s="403" t="s">
        <v>0</v>
      </c>
      <c r="L19" s="403" t="s">
        <v>22</v>
      </c>
      <c r="M19" s="403" t="s">
        <v>0</v>
      </c>
      <c r="N19" s="419" t="s">
        <v>22</v>
      </c>
      <c r="O19" s="134"/>
      <c r="P19" s="102"/>
      <c r="Q19" s="101"/>
      <c r="R19" s="101"/>
      <c r="S19" s="101"/>
    </row>
    <row r="20" spans="1:19" s="21" customFormat="1" ht="15" customHeight="1" x14ac:dyDescent="0.3">
      <c r="A20" s="112">
        <v>2</v>
      </c>
      <c r="B20" s="114" t="str">
        <f>SERVIÇOS!C25</f>
        <v xml:space="preserve">ADMINISTRAÇÃO LOCAL </v>
      </c>
      <c r="C20" s="115">
        <f>SERVIÇOS!G25</f>
        <v>57507.8</v>
      </c>
      <c r="D20" s="123">
        <f>F20/$G$7</f>
        <v>0.12453217047440963</v>
      </c>
      <c r="E20" s="120">
        <f>$P$8*C20</f>
        <v>14376.95</v>
      </c>
      <c r="F20" s="120">
        <f>E20+C20</f>
        <v>71884.75</v>
      </c>
      <c r="G20" s="132">
        <f>G16</f>
        <v>0.14063813055044277</v>
      </c>
      <c r="H20" s="128">
        <f>F20*G20</f>
        <v>10109.736855085941</v>
      </c>
      <c r="I20" s="132">
        <f>I16</f>
        <v>0.18073132439439121</v>
      </c>
      <c r="J20" s="422">
        <f>I20*F20</f>
        <v>12991.826071259713</v>
      </c>
      <c r="K20" s="132">
        <f>K16</f>
        <v>0.54354438892332135</v>
      </c>
      <c r="L20" s="422">
        <f>F20*K20</f>
        <v>39072.552511655726</v>
      </c>
      <c r="M20" s="132">
        <f>M16</f>
        <v>0.13508615613184469</v>
      </c>
      <c r="N20" s="422">
        <f>F20*M20</f>
        <v>9710.6345619986223</v>
      </c>
      <c r="O20" s="135">
        <f>G20+I20</f>
        <v>0.32136945494483399</v>
      </c>
      <c r="P20" s="136"/>
      <c r="Q20" s="137"/>
      <c r="R20" s="138"/>
      <c r="S20" s="139"/>
    </row>
    <row r="21" spans="1:19" s="21" customFormat="1" ht="15" customHeight="1" x14ac:dyDescent="0.3">
      <c r="A21" s="60"/>
      <c r="B21" s="66"/>
      <c r="C21" s="115"/>
      <c r="D21" s="123"/>
      <c r="E21" s="120"/>
      <c r="F21" s="120"/>
      <c r="G21" s="127"/>
      <c r="H21" s="128"/>
      <c r="I21" s="127"/>
      <c r="J21" s="422"/>
      <c r="K21" s="425"/>
      <c r="L21" s="425"/>
      <c r="M21" s="425"/>
      <c r="N21" s="425"/>
      <c r="O21" s="65"/>
      <c r="P21" s="18"/>
      <c r="Q21" s="19"/>
      <c r="R21" s="20"/>
    </row>
    <row r="22" spans="1:19" s="77" customFormat="1" ht="18" customHeight="1" x14ac:dyDescent="0.4">
      <c r="A22" s="72"/>
      <c r="B22" s="117" t="s">
        <v>98</v>
      </c>
      <c r="C22" s="116">
        <f>C20</f>
        <v>57507.8</v>
      </c>
      <c r="D22" s="124">
        <f>D20</f>
        <v>0.12453217047440963</v>
      </c>
      <c r="E22" s="116">
        <f>E20</f>
        <v>14376.95</v>
      </c>
      <c r="F22" s="116">
        <f>E22+C22</f>
        <v>71884.75</v>
      </c>
      <c r="G22" s="126">
        <f>G20</f>
        <v>0.14063813055044277</v>
      </c>
      <c r="H22" s="129">
        <f>H20</f>
        <v>10109.736855085941</v>
      </c>
      <c r="I22" s="126">
        <f>I20</f>
        <v>0.18073132439439121</v>
      </c>
      <c r="J22" s="423">
        <f>J20</f>
        <v>12991.826071259713</v>
      </c>
      <c r="K22" s="126">
        <f>K16</f>
        <v>0.54354438892332135</v>
      </c>
      <c r="L22" s="423">
        <f>F22*K22</f>
        <v>39072.552511655726</v>
      </c>
      <c r="M22" s="126">
        <f>M16</f>
        <v>0.13508615613184469</v>
      </c>
      <c r="N22" s="423">
        <f>F22*M22</f>
        <v>9710.6345619986223</v>
      </c>
      <c r="O22" s="73"/>
      <c r="P22" s="74"/>
      <c r="Q22" s="75"/>
      <c r="R22" s="76"/>
    </row>
    <row r="23" spans="1:19" s="21" customFormat="1" ht="30" customHeight="1" x14ac:dyDescent="0.3">
      <c r="A23" s="60"/>
      <c r="B23" s="66"/>
      <c r="C23" s="61"/>
      <c r="D23" s="62"/>
      <c r="E23" s="63"/>
      <c r="F23" s="63"/>
      <c r="G23" s="127"/>
      <c r="H23" s="128"/>
      <c r="I23" s="127"/>
      <c r="J23" s="422"/>
      <c r="K23" s="425"/>
      <c r="L23" s="425"/>
      <c r="M23" s="425"/>
      <c r="N23" s="425"/>
      <c r="O23" s="65"/>
      <c r="P23" s="18"/>
      <c r="Q23" s="19"/>
      <c r="R23" s="20"/>
    </row>
    <row r="24" spans="1:19" s="80" customFormat="1" ht="19.5" x14ac:dyDescent="0.35">
      <c r="A24" s="78"/>
      <c r="B24" s="118" t="s">
        <v>23</v>
      </c>
      <c r="C24" s="116">
        <f>C22+C16</f>
        <v>315111.5914476451</v>
      </c>
      <c r="D24" s="126">
        <f>D16+D22</f>
        <v>0.99999999999999989</v>
      </c>
      <c r="E24" s="122">
        <f>E22+E16</f>
        <v>104067.40186191128</v>
      </c>
      <c r="F24" s="122">
        <f>F22+F16</f>
        <v>577238.39330955641</v>
      </c>
      <c r="G24" s="124">
        <f>H24/F24</f>
        <v>0.14063813055044275</v>
      </c>
      <c r="H24" s="133">
        <f>H22+H16</f>
        <v>81181.728516997217</v>
      </c>
      <c r="I24" s="124">
        <f>J24/F24</f>
        <v>0.18073132439439119</v>
      </c>
      <c r="J24" s="424">
        <f>J22+J16</f>
        <v>104325.05931412661</v>
      </c>
      <c r="K24" s="124">
        <f>L24/F24</f>
        <v>0.54354438892332135</v>
      </c>
      <c r="L24" s="424">
        <f>L16+L22</f>
        <v>313754.68975452264</v>
      </c>
      <c r="M24" s="124">
        <f>N24/F24</f>
        <v>0.13508615613184466</v>
      </c>
      <c r="N24" s="424">
        <f>N16+N22</f>
        <v>77976.9157239099</v>
      </c>
      <c r="O24" s="79"/>
      <c r="P24" s="18"/>
      <c r="Q24" s="19"/>
      <c r="R24" s="20"/>
    </row>
    <row r="25" spans="1:19" s="21" customFormat="1" ht="24.95" customHeight="1" x14ac:dyDescent="0.35">
      <c r="A25" s="430"/>
      <c r="B25" s="431" t="s">
        <v>24</v>
      </c>
      <c r="C25" s="432"/>
      <c r="D25" s="432"/>
      <c r="E25" s="433"/>
      <c r="F25" s="434"/>
      <c r="G25" s="435">
        <f>G24</f>
        <v>0.14063813055044275</v>
      </c>
      <c r="H25" s="436">
        <f>H24</f>
        <v>81181.728516997217</v>
      </c>
      <c r="I25" s="435">
        <f>G25+I24</f>
        <v>0.32136945494483393</v>
      </c>
      <c r="J25" s="437">
        <f>H25+J24</f>
        <v>185506.78783112383</v>
      </c>
      <c r="K25" s="435">
        <f>K24+I25</f>
        <v>0.86491384386815529</v>
      </c>
      <c r="L25" s="437">
        <f>J25+L24</f>
        <v>499261.47758564644</v>
      </c>
      <c r="M25" s="435">
        <f>K25+M24</f>
        <v>1</v>
      </c>
      <c r="N25" s="437">
        <f>L25+N24</f>
        <v>577238.3933095563</v>
      </c>
      <c r="O25" s="81">
        <f>J25-G7</f>
        <v>-391731.60547843261</v>
      </c>
      <c r="P25" s="18"/>
      <c r="Q25" s="19"/>
      <c r="R25" s="20"/>
    </row>
    <row r="26" spans="1:19" s="21" customFormat="1" ht="15" x14ac:dyDescent="0.3">
      <c r="A26" s="438"/>
      <c r="B26" s="23"/>
      <c r="C26" s="24"/>
      <c r="D26" s="24"/>
      <c r="E26" s="25"/>
      <c r="F26" s="26"/>
      <c r="G26" s="23"/>
      <c r="H26" s="27"/>
      <c r="I26" s="27"/>
      <c r="J26" s="27"/>
      <c r="K26" s="439"/>
      <c r="L26" s="439"/>
      <c r="M26" s="439"/>
      <c r="N26" s="439"/>
      <c r="O26" s="28"/>
      <c r="P26" s="18"/>
      <c r="Q26" s="19"/>
      <c r="R26" s="20"/>
    </row>
    <row r="27" spans="1:19" ht="13.5" x14ac:dyDescent="0.25">
      <c r="A27" s="438"/>
      <c r="B27" s="23"/>
      <c r="C27" s="24"/>
      <c r="D27" s="24"/>
      <c r="E27" s="25"/>
      <c r="F27" s="26"/>
      <c r="G27" s="23"/>
      <c r="H27" s="23"/>
      <c r="I27" s="23"/>
      <c r="J27" s="23"/>
      <c r="K27" s="413"/>
      <c r="L27" s="413"/>
      <c r="M27" s="413"/>
      <c r="N27" s="413"/>
    </row>
    <row r="28" spans="1:19" ht="13.5" x14ac:dyDescent="0.25">
      <c r="A28" s="438"/>
      <c r="B28" s="23"/>
      <c r="C28" s="24"/>
      <c r="D28" s="24"/>
      <c r="E28" s="25"/>
      <c r="F28" s="26"/>
      <c r="G28" s="23"/>
      <c r="H28" s="23"/>
      <c r="I28" s="23"/>
      <c r="J28" s="23"/>
      <c r="K28" s="413"/>
      <c r="L28" s="413"/>
      <c r="M28" s="413"/>
      <c r="N28" s="413"/>
    </row>
    <row r="29" spans="1:19" ht="13.5" x14ac:dyDescent="0.25">
      <c r="A29" s="438"/>
      <c r="B29" s="23"/>
      <c r="C29" s="24"/>
      <c r="D29" s="24"/>
      <c r="E29" s="25"/>
      <c r="F29" s="26"/>
      <c r="G29" s="23"/>
      <c r="H29" s="29"/>
      <c r="I29" s="29"/>
      <c r="J29" s="29"/>
      <c r="K29" s="413"/>
      <c r="L29" s="413"/>
      <c r="M29" s="413"/>
      <c r="N29" s="413"/>
    </row>
    <row r="30" spans="1:19" ht="13.5" x14ac:dyDescent="0.25">
      <c r="A30" s="438"/>
      <c r="B30" s="23"/>
      <c r="C30" s="24"/>
      <c r="D30" s="24"/>
      <c r="E30" s="25"/>
      <c r="F30" s="26"/>
      <c r="G30" s="23"/>
      <c r="H30" s="29"/>
      <c r="I30" s="29"/>
      <c r="J30" s="29"/>
      <c r="K30" s="413"/>
      <c r="L30" s="413"/>
      <c r="M30" s="413"/>
      <c r="N30" s="413"/>
    </row>
    <row r="31" spans="1:19" ht="13.5" x14ac:dyDescent="0.25">
      <c r="A31" s="438"/>
      <c r="B31" s="23"/>
      <c r="C31" s="24"/>
      <c r="D31" s="24"/>
      <c r="E31" s="25"/>
      <c r="F31" s="26"/>
      <c r="G31" s="23"/>
      <c r="H31" s="29"/>
      <c r="I31" s="29"/>
      <c r="J31" s="29"/>
      <c r="K31" s="413"/>
      <c r="L31" s="413"/>
      <c r="M31" s="413"/>
      <c r="N31" s="413"/>
    </row>
    <row r="32" spans="1:19" ht="13.5" x14ac:dyDescent="0.25">
      <c r="A32" s="438"/>
      <c r="B32" s="23"/>
      <c r="C32" s="24"/>
      <c r="D32" s="24"/>
      <c r="E32" s="25"/>
      <c r="F32" s="26"/>
      <c r="G32" s="23"/>
      <c r="H32" s="29"/>
      <c r="I32" s="29"/>
      <c r="J32" s="29"/>
      <c r="K32" s="413"/>
      <c r="L32" s="413"/>
      <c r="M32" s="413"/>
      <c r="N32" s="413"/>
    </row>
    <row r="33" spans="1:14" ht="13.5" x14ac:dyDescent="0.25">
      <c r="A33" s="438"/>
      <c r="B33" s="23"/>
      <c r="C33" s="24"/>
      <c r="D33" s="24"/>
      <c r="E33" s="25"/>
      <c r="F33" s="31"/>
      <c r="G33" s="23"/>
      <c r="H33" s="29"/>
      <c r="I33" s="29"/>
      <c r="J33" s="30"/>
      <c r="K33" s="413"/>
      <c r="L33" s="413"/>
      <c r="M33" s="413"/>
      <c r="N33" s="413"/>
    </row>
    <row r="34" spans="1:14" ht="13.5" x14ac:dyDescent="0.25">
      <c r="A34" s="438"/>
      <c r="B34" s="23"/>
      <c r="C34" s="24"/>
      <c r="D34" s="24"/>
      <c r="E34" s="25"/>
      <c r="F34" s="26"/>
      <c r="G34" s="23"/>
      <c r="H34" s="30"/>
      <c r="I34" s="29"/>
      <c r="J34" s="29"/>
      <c r="K34" s="413"/>
      <c r="L34" s="413"/>
      <c r="M34" s="413"/>
      <c r="N34" s="413"/>
    </row>
    <row r="35" spans="1:14" ht="13.5" x14ac:dyDescent="0.25">
      <c r="A35" s="438"/>
      <c r="B35" s="23"/>
      <c r="C35" s="24"/>
      <c r="D35" s="24"/>
      <c r="E35" s="25"/>
      <c r="F35" s="26"/>
      <c r="G35" s="23"/>
      <c r="H35" s="23"/>
      <c r="I35" s="23"/>
      <c r="J35" s="23"/>
      <c r="K35" s="413"/>
      <c r="L35" s="413"/>
      <c r="M35" s="413"/>
      <c r="N35" s="413"/>
    </row>
    <row r="36" spans="1:14" ht="13.5" x14ac:dyDescent="0.25">
      <c r="A36" s="438"/>
      <c r="B36" s="23"/>
      <c r="C36" s="24"/>
      <c r="D36" s="24"/>
      <c r="E36" s="25"/>
      <c r="F36" s="26"/>
      <c r="G36" s="23"/>
      <c r="H36" s="23"/>
      <c r="I36" s="23"/>
      <c r="J36" s="23"/>
      <c r="K36" s="413"/>
      <c r="L36" s="413"/>
      <c r="M36" s="413"/>
      <c r="N36" s="413"/>
    </row>
    <row r="37" spans="1:14" ht="13.5" x14ac:dyDescent="0.25">
      <c r="A37" s="438"/>
      <c r="B37" s="23"/>
      <c r="C37" s="24"/>
      <c r="D37" s="24"/>
      <c r="E37" s="25"/>
      <c r="F37" s="26"/>
      <c r="G37" s="23"/>
      <c r="H37" s="23"/>
      <c r="I37" s="23"/>
      <c r="J37" s="23"/>
      <c r="K37" s="413"/>
      <c r="L37" s="413"/>
      <c r="M37" s="413"/>
      <c r="N37" s="413"/>
    </row>
    <row r="38" spans="1:14" ht="13.5" x14ac:dyDescent="0.25">
      <c r="A38" s="438"/>
      <c r="B38" s="23"/>
      <c r="C38" s="24"/>
      <c r="D38" s="24"/>
      <c r="E38" s="25"/>
      <c r="F38" s="26"/>
      <c r="G38" s="23"/>
      <c r="H38" s="23"/>
      <c r="I38" s="23"/>
      <c r="J38" s="23"/>
      <c r="K38" s="413"/>
      <c r="L38" s="413"/>
      <c r="M38" s="413"/>
      <c r="N38" s="413"/>
    </row>
    <row r="39" spans="1:14" ht="13.5" x14ac:dyDescent="0.25">
      <c r="A39" s="438"/>
      <c r="B39" s="23"/>
      <c r="C39" s="24"/>
      <c r="D39" s="24"/>
      <c r="E39" s="25"/>
      <c r="F39" s="26"/>
      <c r="G39" s="23"/>
      <c r="H39" s="23"/>
      <c r="I39" s="23"/>
      <c r="J39" s="23"/>
      <c r="K39" s="413"/>
      <c r="L39" s="413"/>
      <c r="M39" s="413"/>
      <c r="N39" s="413"/>
    </row>
    <row r="40" spans="1:14" ht="13.5" x14ac:dyDescent="0.25">
      <c r="A40" s="438"/>
      <c r="B40" s="23"/>
      <c r="C40" s="24"/>
      <c r="D40" s="24"/>
      <c r="E40" s="25"/>
      <c r="F40" s="26"/>
      <c r="G40" s="23"/>
      <c r="H40" s="23"/>
      <c r="I40" s="23"/>
      <c r="J40" s="23"/>
      <c r="K40" s="413"/>
      <c r="L40" s="413"/>
      <c r="M40" s="413"/>
      <c r="N40" s="413"/>
    </row>
    <row r="41" spans="1:14" ht="13.5" x14ac:dyDescent="0.25">
      <c r="A41" s="438"/>
      <c r="B41" s="23"/>
      <c r="C41" s="24"/>
      <c r="D41" s="24"/>
      <c r="E41" s="25"/>
      <c r="F41" s="26"/>
      <c r="G41" s="23"/>
      <c r="H41" s="23"/>
      <c r="I41" s="23"/>
      <c r="J41" s="23"/>
      <c r="K41" s="413"/>
      <c r="L41" s="413"/>
      <c r="M41" s="413"/>
      <c r="N41" s="413"/>
    </row>
    <row r="42" spans="1:14" ht="13.5" x14ac:dyDescent="0.25">
      <c r="A42" s="438"/>
      <c r="B42" s="23"/>
      <c r="C42" s="24"/>
      <c r="D42" s="24"/>
      <c r="E42" s="25"/>
      <c r="F42" s="26"/>
      <c r="G42" s="23"/>
      <c r="H42" s="23"/>
      <c r="I42" s="23"/>
      <c r="J42" s="23"/>
      <c r="K42" s="413"/>
      <c r="L42" s="413"/>
      <c r="M42" s="413"/>
      <c r="N42" s="413"/>
    </row>
    <row r="43" spans="1:14" ht="13.5" x14ac:dyDescent="0.25">
      <c r="A43" s="438"/>
      <c r="B43" s="23"/>
      <c r="C43" s="24"/>
      <c r="D43" s="24"/>
      <c r="E43" s="25"/>
      <c r="F43" s="26"/>
      <c r="G43" s="23"/>
      <c r="H43" s="23"/>
      <c r="I43" s="23"/>
      <c r="J43" s="23"/>
      <c r="K43" s="413"/>
      <c r="L43" s="413"/>
      <c r="M43" s="413"/>
      <c r="N43" s="413"/>
    </row>
    <row r="44" spans="1:14" ht="13.5" x14ac:dyDescent="0.25">
      <c r="A44" s="438"/>
      <c r="B44" s="23"/>
      <c r="C44" s="24"/>
      <c r="D44" s="24"/>
      <c r="E44" s="25"/>
      <c r="F44" s="26"/>
      <c r="G44" s="23"/>
      <c r="H44" s="23"/>
      <c r="I44" s="23"/>
      <c r="J44" s="23"/>
      <c r="K44" s="413"/>
      <c r="L44" s="413"/>
      <c r="M44" s="413"/>
      <c r="N44" s="413"/>
    </row>
    <row r="45" spans="1:14" ht="13.5" x14ac:dyDescent="0.25">
      <c r="A45" s="438"/>
      <c r="B45" s="23"/>
      <c r="C45" s="24"/>
      <c r="D45" s="24"/>
      <c r="E45" s="25"/>
      <c r="F45" s="26"/>
      <c r="G45" s="23"/>
      <c r="H45" s="23"/>
      <c r="I45" s="23"/>
      <c r="J45" s="23"/>
      <c r="K45" s="413"/>
      <c r="L45" s="413"/>
      <c r="M45" s="413"/>
      <c r="N45" s="413"/>
    </row>
    <row r="46" spans="1:14" ht="13.5" x14ac:dyDescent="0.25">
      <c r="A46" s="438"/>
      <c r="B46" s="23"/>
      <c r="C46" s="24"/>
      <c r="D46" s="24"/>
      <c r="E46" s="25"/>
      <c r="F46" s="26"/>
      <c r="G46" s="23"/>
      <c r="H46" s="23"/>
      <c r="I46" s="23"/>
      <c r="J46" s="23"/>
      <c r="K46" s="413"/>
      <c r="L46" s="413"/>
      <c r="M46" s="413"/>
      <c r="N46" s="413"/>
    </row>
    <row r="47" spans="1:14" ht="13.5" x14ac:dyDescent="0.25">
      <c r="A47" s="438"/>
      <c r="B47" s="23"/>
      <c r="C47" s="24"/>
      <c r="D47" s="24"/>
      <c r="E47" s="25"/>
      <c r="F47" s="26"/>
      <c r="G47" s="23"/>
      <c r="H47" s="23"/>
      <c r="I47" s="23"/>
      <c r="J47" s="23"/>
      <c r="K47" s="413"/>
      <c r="L47" s="413"/>
      <c r="M47" s="413"/>
      <c r="N47" s="413"/>
    </row>
    <row r="48" spans="1:14" ht="13.5" x14ac:dyDescent="0.25">
      <c r="A48" s="438"/>
      <c r="B48" s="23"/>
      <c r="C48" s="24"/>
      <c r="D48" s="24"/>
      <c r="E48" s="25"/>
      <c r="F48" s="26"/>
      <c r="G48" s="23"/>
      <c r="H48" s="23"/>
      <c r="I48" s="23"/>
      <c r="J48" s="23"/>
      <c r="K48" s="413"/>
      <c r="L48" s="413"/>
      <c r="M48" s="413"/>
      <c r="N48" s="413"/>
    </row>
    <row r="49" spans="1:16" ht="13.5" x14ac:dyDescent="0.25">
      <c r="A49" s="22"/>
      <c r="B49" s="23"/>
      <c r="C49" s="24"/>
      <c r="D49" s="24"/>
      <c r="E49" s="25"/>
      <c r="F49" s="26"/>
      <c r="G49" s="23"/>
      <c r="H49" s="23"/>
      <c r="I49" s="23"/>
      <c r="J49" s="23"/>
      <c r="K49" s="413"/>
      <c r="L49" s="413"/>
      <c r="M49" s="413"/>
      <c r="N49" s="413"/>
    </row>
    <row r="50" spans="1:16" ht="13.5" x14ac:dyDescent="0.25">
      <c r="A50" s="22"/>
      <c r="B50" s="23"/>
      <c r="C50" s="24"/>
      <c r="D50" s="24"/>
      <c r="E50" s="25"/>
      <c r="F50" s="26"/>
      <c r="G50" s="23"/>
      <c r="H50" s="23"/>
      <c r="I50" s="23"/>
      <c r="J50" s="23"/>
      <c r="K50" s="413"/>
      <c r="L50" s="413"/>
      <c r="M50" s="413"/>
      <c r="N50" s="413"/>
    </row>
    <row r="51" spans="1:16" s="101" customFormat="1" ht="20.25" x14ac:dyDescent="0.25">
      <c r="A51" s="579" t="s">
        <v>163</v>
      </c>
      <c r="B51" s="580"/>
      <c r="C51" s="580"/>
      <c r="D51" s="580"/>
      <c r="E51" s="580"/>
      <c r="F51" s="580"/>
      <c r="G51" s="580"/>
      <c r="H51" s="580"/>
      <c r="I51" s="580"/>
      <c r="J51" s="580"/>
      <c r="K51" s="580"/>
      <c r="L51" s="580"/>
      <c r="M51" s="580"/>
      <c r="N51" s="580"/>
      <c r="O51" s="102"/>
      <c r="P51" s="102"/>
    </row>
    <row r="52" spans="1:16" s="101" customFormat="1" ht="25.5" customHeight="1" x14ac:dyDescent="0.25">
      <c r="A52" s="536" t="s">
        <v>164</v>
      </c>
      <c r="B52" s="572"/>
      <c r="C52" s="572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102"/>
      <c r="P52" s="102"/>
    </row>
    <row r="53" spans="1:16" s="101" customFormat="1" ht="23.25" x14ac:dyDescent="0.25">
      <c r="A53" s="581">
        <f>A3</f>
        <v>0</v>
      </c>
      <c r="B53" s="582"/>
      <c r="C53" s="582"/>
      <c r="D53" s="582"/>
      <c r="E53" s="582"/>
      <c r="F53" s="103"/>
      <c r="G53" s="104"/>
      <c r="H53" s="105"/>
      <c r="I53" s="105"/>
      <c r="J53" s="105"/>
      <c r="K53" s="105"/>
      <c r="L53" s="105"/>
      <c r="M53" s="105"/>
      <c r="N53" s="105"/>
      <c r="O53" s="102"/>
      <c r="P53" s="102"/>
    </row>
    <row r="54" spans="1:16" s="101" customFormat="1" ht="20.25" x14ac:dyDescent="0.25">
      <c r="A54" s="400" t="s">
        <v>6</v>
      </c>
      <c r="B54" s="1"/>
      <c r="C54" s="2"/>
      <c r="D54" s="396"/>
      <c r="E54" s="584" t="s">
        <v>8</v>
      </c>
      <c r="F54" s="584"/>
      <c r="G54" s="104"/>
      <c r="H54" s="105"/>
      <c r="I54" s="105"/>
      <c r="J54" s="105"/>
      <c r="K54" s="105"/>
      <c r="L54" s="105"/>
      <c r="M54" s="105"/>
      <c r="N54" s="105"/>
      <c r="O54" s="102"/>
      <c r="P54" s="102"/>
    </row>
    <row r="55" spans="1:16" s="101" customFormat="1" ht="40.15" customHeight="1" x14ac:dyDescent="0.3">
      <c r="A55" s="591" t="str">
        <f>A5</f>
        <v>serviços de engenharia para conclusão de serviços no edifício do Biotério do Instituto
Multidisciplinar de Saúde</v>
      </c>
      <c r="B55" s="592"/>
      <c r="C55" s="592"/>
      <c r="D55" s="592"/>
      <c r="E55" s="588">
        <f ca="1">E5</f>
        <v>44474.611615624999</v>
      </c>
      <c r="F55" s="588"/>
      <c r="G55" s="104"/>
      <c r="H55" s="105"/>
      <c r="I55" s="105"/>
      <c r="J55" s="105"/>
      <c r="K55" s="105"/>
      <c r="L55" s="105"/>
      <c r="M55" s="105"/>
      <c r="N55" s="105"/>
      <c r="O55" s="102"/>
      <c r="P55" s="102"/>
    </row>
    <row r="56" spans="1:16" s="101" customFormat="1" ht="15.75" customHeight="1" x14ac:dyDescent="0.25">
      <c r="A56" s="589" t="s">
        <v>7</v>
      </c>
      <c r="B56" s="590"/>
      <c r="C56" s="2"/>
      <c r="D56" s="140"/>
      <c r="E56" s="590" t="s">
        <v>13</v>
      </c>
      <c r="F56" s="590"/>
      <c r="G56" s="584" t="s">
        <v>14</v>
      </c>
      <c r="H56" s="584"/>
      <c r="I56" s="105"/>
      <c r="J56" s="402" t="s">
        <v>15</v>
      </c>
      <c r="K56" s="105"/>
      <c r="L56" s="105"/>
      <c r="M56" s="105"/>
      <c r="N56" s="105"/>
      <c r="O56" s="102"/>
      <c r="P56" s="102"/>
    </row>
    <row r="57" spans="1:16" s="101" customFormat="1" ht="21" thickBot="1" x14ac:dyDescent="0.35">
      <c r="A57" s="141" t="str">
        <f>A7</f>
        <v>UFBA - CAMPUS VITORIA DA CONQUISTA</v>
      </c>
      <c r="B57" s="142"/>
      <c r="C57" s="143"/>
      <c r="D57" s="144"/>
      <c r="E57" s="583">
        <f>E7</f>
        <v>0</v>
      </c>
      <c r="F57" s="583"/>
      <c r="G57" s="583">
        <f>G7</f>
        <v>577238.39330955641</v>
      </c>
      <c r="H57" s="583"/>
      <c r="I57" s="145"/>
      <c r="J57" s="399" t="e">
        <f>G57/E57</f>
        <v>#DIV/0!</v>
      </c>
      <c r="K57" s="105"/>
      <c r="L57" s="105"/>
      <c r="M57" s="105"/>
      <c r="N57" s="105"/>
      <c r="O57" s="102"/>
      <c r="P57" s="102"/>
    </row>
    <row r="58" spans="1:16" s="101" customFormat="1" ht="13.5" x14ac:dyDescent="0.25">
      <c r="A58" s="146"/>
      <c r="B58" s="147"/>
      <c r="C58" s="148"/>
      <c r="D58" s="148"/>
      <c r="E58" s="149"/>
      <c r="F58" s="150"/>
      <c r="G58" s="147"/>
      <c r="H58" s="147"/>
      <c r="I58" s="147"/>
      <c r="J58" s="147"/>
      <c r="K58" s="147"/>
      <c r="L58" s="147"/>
      <c r="M58" s="147"/>
      <c r="N58" s="147"/>
      <c r="O58" s="102"/>
      <c r="P58" s="102"/>
    </row>
    <row r="59" spans="1:16" s="101" customFormat="1" ht="13.5" x14ac:dyDescent="0.25">
      <c r="A59" s="440"/>
      <c r="B59" s="157"/>
      <c r="C59" s="158"/>
      <c r="D59" s="158"/>
      <c r="E59" s="159"/>
      <c r="F59" s="160"/>
      <c r="G59" s="157"/>
      <c r="H59" s="157"/>
      <c r="I59" s="157"/>
      <c r="J59" s="157"/>
      <c r="K59" s="105"/>
      <c r="L59" s="105"/>
      <c r="M59" s="105"/>
      <c r="N59" s="105"/>
      <c r="O59" s="102"/>
      <c r="P59" s="102"/>
    </row>
    <row r="60" spans="1:16" s="101" customFormat="1" ht="13.5" x14ac:dyDescent="0.25">
      <c r="A60" s="440"/>
      <c r="B60" s="157"/>
      <c r="C60" s="158"/>
      <c r="D60" s="158"/>
      <c r="E60" s="159"/>
      <c r="F60" s="160"/>
      <c r="G60" s="157"/>
      <c r="H60" s="157"/>
      <c r="I60" s="157"/>
      <c r="J60" s="157"/>
      <c r="K60" s="105"/>
      <c r="L60" s="105"/>
      <c r="M60" s="105"/>
      <c r="N60" s="105"/>
      <c r="O60" s="102"/>
      <c r="P60" s="102"/>
    </row>
    <row r="61" spans="1:16" s="101" customFormat="1" ht="13.5" x14ac:dyDescent="0.25">
      <c r="A61" s="440"/>
      <c r="B61" s="157"/>
      <c r="C61" s="158"/>
      <c r="D61" s="158"/>
      <c r="E61" s="159"/>
      <c r="F61" s="160"/>
      <c r="G61" s="157"/>
      <c r="H61" s="157"/>
      <c r="I61" s="157"/>
      <c r="J61" s="157"/>
      <c r="K61" s="105"/>
      <c r="L61" s="105"/>
      <c r="M61" s="105"/>
      <c r="N61" s="105"/>
      <c r="O61" s="102"/>
      <c r="P61" s="102"/>
    </row>
    <row r="62" spans="1:16" s="101" customFormat="1" ht="13.5" x14ac:dyDescent="0.25">
      <c r="A62" s="440"/>
      <c r="B62" s="157"/>
      <c r="C62" s="158"/>
      <c r="D62" s="158"/>
      <c r="E62" s="159"/>
      <c r="F62" s="160"/>
      <c r="G62" s="157"/>
      <c r="H62" s="157"/>
      <c r="I62" s="157"/>
      <c r="J62" s="157"/>
      <c r="K62" s="105"/>
      <c r="L62" s="105"/>
      <c r="M62" s="105"/>
      <c r="N62" s="105"/>
      <c r="O62" s="102"/>
      <c r="P62" s="102"/>
    </row>
    <row r="63" spans="1:16" s="101" customFormat="1" ht="13.5" x14ac:dyDescent="0.25">
      <c r="A63" s="440"/>
      <c r="B63" s="157"/>
      <c r="C63" s="158"/>
      <c r="D63" s="158"/>
      <c r="E63" s="159"/>
      <c r="F63" s="160"/>
      <c r="G63" s="157"/>
      <c r="H63" s="157"/>
      <c r="I63" s="157"/>
      <c r="J63" s="157"/>
      <c r="K63" s="105"/>
      <c r="L63" s="105"/>
      <c r="M63" s="105"/>
      <c r="N63" s="105"/>
      <c r="O63" s="102"/>
      <c r="P63" s="102"/>
    </row>
    <row r="64" spans="1:16" s="101" customFormat="1" ht="13.5" x14ac:dyDescent="0.25">
      <c r="A64" s="440"/>
      <c r="B64" s="157"/>
      <c r="C64" s="158"/>
      <c r="D64" s="158"/>
      <c r="E64" s="159"/>
      <c r="F64" s="160"/>
      <c r="G64" s="157"/>
      <c r="H64" s="157"/>
      <c r="I64" s="157"/>
      <c r="J64" s="157"/>
      <c r="K64" s="105"/>
      <c r="L64" s="105"/>
      <c r="M64" s="105"/>
      <c r="N64" s="105"/>
      <c r="O64" s="102"/>
      <c r="P64" s="102"/>
    </row>
    <row r="65" spans="1:16" s="101" customFormat="1" ht="13.5" x14ac:dyDescent="0.25">
      <c r="A65" s="440"/>
      <c r="B65" s="157"/>
      <c r="C65" s="158"/>
      <c r="D65" s="158"/>
      <c r="E65" s="159"/>
      <c r="F65" s="160"/>
      <c r="G65" s="157"/>
      <c r="H65" s="157"/>
      <c r="I65" s="157"/>
      <c r="J65" s="157"/>
      <c r="K65" s="105"/>
      <c r="L65" s="105"/>
      <c r="M65" s="105"/>
      <c r="N65" s="105"/>
      <c r="O65" s="102"/>
      <c r="P65" s="102"/>
    </row>
    <row r="66" spans="1:16" s="101" customFormat="1" ht="13.5" x14ac:dyDescent="0.25">
      <c r="A66" s="440"/>
      <c r="B66" s="157"/>
      <c r="C66" s="158"/>
      <c r="D66" s="158"/>
      <c r="E66" s="159"/>
      <c r="F66" s="160"/>
      <c r="G66" s="157"/>
      <c r="H66" s="157"/>
      <c r="I66" s="157"/>
      <c r="J66" s="157"/>
      <c r="K66" s="105"/>
      <c r="L66" s="105"/>
      <c r="M66" s="105"/>
      <c r="N66" s="105"/>
      <c r="O66" s="102"/>
      <c r="P66" s="102"/>
    </row>
    <row r="67" spans="1:16" s="101" customFormat="1" ht="13.5" x14ac:dyDescent="0.25">
      <c r="A67" s="440"/>
      <c r="B67" s="157"/>
      <c r="C67" s="158"/>
      <c r="D67" s="158"/>
      <c r="E67" s="159"/>
      <c r="F67" s="160"/>
      <c r="G67" s="157"/>
      <c r="H67" s="157"/>
      <c r="I67" s="157"/>
      <c r="J67" s="157"/>
      <c r="K67" s="105"/>
      <c r="L67" s="105"/>
      <c r="M67" s="105"/>
      <c r="N67" s="105"/>
      <c r="O67" s="102"/>
      <c r="P67" s="102"/>
    </row>
    <row r="68" spans="1:16" s="101" customFormat="1" ht="13.5" x14ac:dyDescent="0.25">
      <c r="A68" s="440"/>
      <c r="B68" s="157"/>
      <c r="C68" s="158"/>
      <c r="D68" s="158"/>
      <c r="E68" s="159"/>
      <c r="F68" s="160"/>
      <c r="G68" s="157"/>
      <c r="H68" s="157"/>
      <c r="I68" s="157"/>
      <c r="J68" s="157"/>
      <c r="K68" s="105"/>
      <c r="L68" s="105"/>
      <c r="M68" s="105"/>
      <c r="N68" s="105"/>
      <c r="O68" s="102"/>
      <c r="P68" s="102"/>
    </row>
    <row r="69" spans="1:16" s="101" customFormat="1" ht="13.5" x14ac:dyDescent="0.25">
      <c r="A69" s="440"/>
      <c r="B69" s="157"/>
      <c r="C69" s="158"/>
      <c r="D69" s="158"/>
      <c r="E69" s="159"/>
      <c r="F69" s="160"/>
      <c r="G69" s="157"/>
      <c r="H69" s="157"/>
      <c r="I69" s="157"/>
      <c r="J69" s="157"/>
      <c r="K69" s="105"/>
      <c r="L69" s="105"/>
      <c r="M69" s="105"/>
      <c r="N69" s="105"/>
      <c r="O69" s="102"/>
      <c r="P69" s="102"/>
    </row>
    <row r="70" spans="1:16" s="101" customFormat="1" ht="13.5" x14ac:dyDescent="0.25">
      <c r="A70" s="440"/>
      <c r="B70" s="157"/>
      <c r="C70" s="158"/>
      <c r="D70" s="158"/>
      <c r="E70" s="159"/>
      <c r="F70" s="160"/>
      <c r="G70" s="157"/>
      <c r="H70" s="157"/>
      <c r="I70" s="157"/>
      <c r="J70" s="157"/>
      <c r="K70" s="105"/>
      <c r="L70" s="105"/>
      <c r="M70" s="105"/>
      <c r="N70" s="105"/>
      <c r="O70" s="102"/>
      <c r="P70" s="102"/>
    </row>
    <row r="71" spans="1:16" s="101" customFormat="1" ht="13.5" x14ac:dyDescent="0.25">
      <c r="A71" s="440"/>
      <c r="B71" s="157"/>
      <c r="C71" s="158"/>
      <c r="D71" s="158"/>
      <c r="E71" s="159"/>
      <c r="F71" s="160"/>
      <c r="G71" s="157"/>
      <c r="H71" s="157"/>
      <c r="I71" s="157"/>
      <c r="J71" s="157"/>
      <c r="K71" s="105"/>
      <c r="L71" s="105"/>
      <c r="M71" s="105"/>
      <c r="N71" s="105"/>
      <c r="O71" s="102"/>
      <c r="P71" s="102"/>
    </row>
    <row r="72" spans="1:16" s="101" customFormat="1" ht="13.5" x14ac:dyDescent="0.25">
      <c r="A72" s="440"/>
      <c r="B72" s="157"/>
      <c r="C72" s="158"/>
      <c r="D72" s="158"/>
      <c r="E72" s="159"/>
      <c r="F72" s="160"/>
      <c r="G72" s="157"/>
      <c r="H72" s="157"/>
      <c r="I72" s="157"/>
      <c r="J72" s="157"/>
      <c r="K72" s="105"/>
      <c r="L72" s="105"/>
      <c r="M72" s="105"/>
      <c r="N72" s="105"/>
      <c r="O72" s="102"/>
      <c r="P72" s="102"/>
    </row>
    <row r="73" spans="1:16" s="101" customFormat="1" ht="13.5" x14ac:dyDescent="0.25">
      <c r="A73" s="440"/>
      <c r="B73" s="157"/>
      <c r="C73" s="158"/>
      <c r="D73" s="158"/>
      <c r="E73" s="159"/>
      <c r="F73" s="160"/>
      <c r="G73" s="157"/>
      <c r="H73" s="157"/>
      <c r="I73" s="157"/>
      <c r="J73" s="157"/>
      <c r="K73" s="105"/>
      <c r="L73" s="105"/>
      <c r="M73" s="105"/>
      <c r="N73" s="105"/>
      <c r="O73" s="102"/>
      <c r="P73" s="102"/>
    </row>
    <row r="74" spans="1:16" s="101" customFormat="1" ht="13.5" x14ac:dyDescent="0.25">
      <c r="A74" s="440"/>
      <c r="B74" s="157"/>
      <c r="C74" s="158"/>
      <c r="D74" s="158"/>
      <c r="E74" s="159"/>
      <c r="F74" s="160"/>
      <c r="G74" s="157"/>
      <c r="H74" s="157"/>
      <c r="I74" s="157"/>
      <c r="J74" s="157"/>
      <c r="K74" s="105"/>
      <c r="L74" s="105"/>
      <c r="M74" s="105"/>
      <c r="N74" s="105"/>
      <c r="O74" s="102"/>
      <c r="P74" s="102"/>
    </row>
    <row r="75" spans="1:16" s="101" customFormat="1" ht="13.5" x14ac:dyDescent="0.25">
      <c r="A75" s="440"/>
      <c r="B75" s="157"/>
      <c r="C75" s="158"/>
      <c r="D75" s="158"/>
      <c r="E75" s="159"/>
      <c r="F75" s="160"/>
      <c r="G75" s="157"/>
      <c r="H75" s="157"/>
      <c r="I75" s="157"/>
      <c r="J75" s="157"/>
      <c r="K75" s="105"/>
      <c r="L75" s="105"/>
      <c r="M75" s="105"/>
      <c r="N75" s="105"/>
      <c r="O75" s="102"/>
      <c r="P75" s="102"/>
    </row>
    <row r="76" spans="1:16" s="101" customFormat="1" ht="13.5" x14ac:dyDescent="0.25">
      <c r="A76" s="440"/>
      <c r="B76" s="157"/>
      <c r="C76" s="158"/>
      <c r="D76" s="158"/>
      <c r="E76" s="159"/>
      <c r="F76" s="160"/>
      <c r="G76" s="157"/>
      <c r="H76" s="157"/>
      <c r="I76" s="157"/>
      <c r="J76" s="157"/>
      <c r="K76" s="105"/>
      <c r="L76" s="105"/>
      <c r="M76" s="105"/>
      <c r="N76" s="105"/>
      <c r="O76" s="102"/>
      <c r="P76" s="102"/>
    </row>
    <row r="77" spans="1:16" s="101" customFormat="1" ht="13.5" x14ac:dyDescent="0.25">
      <c r="A77" s="440"/>
      <c r="B77" s="157"/>
      <c r="C77" s="158"/>
      <c r="D77" s="158"/>
      <c r="E77" s="159"/>
      <c r="F77" s="160"/>
      <c r="G77" s="157"/>
      <c r="H77" s="157"/>
      <c r="I77" s="157"/>
      <c r="J77" s="157"/>
      <c r="K77" s="105"/>
      <c r="L77" s="105"/>
      <c r="M77" s="105"/>
      <c r="N77" s="105"/>
      <c r="O77" s="102"/>
      <c r="P77" s="102"/>
    </row>
    <row r="78" spans="1:16" s="101" customFormat="1" ht="13.5" x14ac:dyDescent="0.25">
      <c r="A78" s="440"/>
      <c r="B78" s="157"/>
      <c r="C78" s="158"/>
      <c r="D78" s="158"/>
      <c r="E78" s="159"/>
      <c r="F78" s="160"/>
      <c r="G78" s="157"/>
      <c r="H78" s="157"/>
      <c r="I78" s="157"/>
      <c r="J78" s="157"/>
      <c r="K78" s="105"/>
      <c r="L78" s="105"/>
      <c r="M78" s="105"/>
      <c r="N78" s="105"/>
      <c r="O78" s="102"/>
      <c r="P78" s="102"/>
    </row>
    <row r="79" spans="1:16" s="101" customFormat="1" ht="13.5" x14ac:dyDescent="0.25">
      <c r="A79" s="440"/>
      <c r="B79" s="157"/>
      <c r="C79" s="158"/>
      <c r="D79" s="158"/>
      <c r="E79" s="159"/>
      <c r="F79" s="160"/>
      <c r="G79" s="157"/>
      <c r="H79" s="157"/>
      <c r="I79" s="157"/>
      <c r="J79" s="157"/>
      <c r="K79" s="105"/>
      <c r="L79" s="105"/>
      <c r="M79" s="105"/>
      <c r="N79" s="105"/>
      <c r="O79" s="102"/>
      <c r="P79" s="102"/>
    </row>
    <row r="80" spans="1:16" s="101" customFormat="1" ht="13.5" x14ac:dyDescent="0.25">
      <c r="A80" s="440"/>
      <c r="B80" s="157"/>
      <c r="C80" s="158"/>
      <c r="D80" s="158"/>
      <c r="E80" s="159"/>
      <c r="F80" s="160"/>
      <c r="G80" s="157"/>
      <c r="H80" s="157"/>
      <c r="I80" s="157"/>
      <c r="J80" s="157"/>
      <c r="K80" s="105"/>
      <c r="L80" s="105"/>
      <c r="M80" s="105"/>
      <c r="N80" s="105"/>
      <c r="O80" s="102"/>
      <c r="P80" s="102"/>
    </row>
    <row r="81" spans="1:16" s="101" customFormat="1" ht="13.5" x14ac:dyDescent="0.25">
      <c r="A81" s="440"/>
      <c r="B81" s="157"/>
      <c r="C81" s="158"/>
      <c r="D81" s="158"/>
      <c r="E81" s="159"/>
      <c r="F81" s="160"/>
      <c r="G81" s="157"/>
      <c r="H81" s="157"/>
      <c r="I81" s="157"/>
      <c r="J81" s="157"/>
      <c r="K81" s="105"/>
      <c r="L81" s="105"/>
      <c r="M81" s="105"/>
      <c r="N81" s="105"/>
      <c r="O81" s="102"/>
      <c r="P81" s="102"/>
    </row>
    <row r="82" spans="1:16" s="101" customFormat="1" ht="13.5" x14ac:dyDescent="0.25">
      <c r="A82" s="440"/>
      <c r="B82" s="157"/>
      <c r="C82" s="158"/>
      <c r="D82" s="158"/>
      <c r="E82" s="159"/>
      <c r="F82" s="160"/>
      <c r="G82" s="157"/>
      <c r="H82" s="157"/>
      <c r="I82" s="157"/>
      <c r="J82" s="157"/>
      <c r="K82" s="105"/>
      <c r="L82" s="105"/>
      <c r="M82" s="105"/>
      <c r="N82" s="105"/>
      <c r="O82" s="102"/>
      <c r="P82" s="102"/>
    </row>
    <row r="83" spans="1:16" s="101" customFormat="1" ht="13.5" x14ac:dyDescent="0.25">
      <c r="A83" s="440"/>
      <c r="B83" s="157"/>
      <c r="C83" s="158"/>
      <c r="D83" s="158"/>
      <c r="E83" s="159"/>
      <c r="F83" s="160"/>
      <c r="G83" s="157"/>
      <c r="H83" s="157"/>
      <c r="I83" s="157"/>
      <c r="J83" s="157"/>
      <c r="K83" s="105"/>
      <c r="L83" s="105"/>
      <c r="M83" s="105"/>
      <c r="N83" s="105"/>
      <c r="O83" s="102"/>
      <c r="P83" s="102"/>
    </row>
    <row r="84" spans="1:16" s="101" customFormat="1" ht="13.5" x14ac:dyDescent="0.25">
      <c r="A84" s="440"/>
      <c r="B84" s="157"/>
      <c r="C84" s="158"/>
      <c r="D84" s="158"/>
      <c r="E84" s="159"/>
      <c r="F84" s="160"/>
      <c r="G84" s="157"/>
      <c r="H84" s="157"/>
      <c r="I84" s="157"/>
      <c r="J84" s="157"/>
      <c r="K84" s="105"/>
      <c r="L84" s="105"/>
      <c r="M84" s="105"/>
      <c r="N84" s="105"/>
      <c r="O84" s="102"/>
      <c r="P84" s="102"/>
    </row>
    <row r="85" spans="1:16" s="101" customFormat="1" ht="13.5" x14ac:dyDescent="0.25">
      <c r="A85" s="440"/>
      <c r="B85" s="157"/>
      <c r="C85" s="158"/>
      <c r="D85" s="158"/>
      <c r="E85" s="159"/>
      <c r="F85" s="160"/>
      <c r="G85" s="157"/>
      <c r="H85" s="157"/>
      <c r="I85" s="157"/>
      <c r="J85" s="157"/>
      <c r="K85" s="105"/>
      <c r="L85" s="105"/>
      <c r="M85" s="105"/>
      <c r="N85" s="105"/>
      <c r="O85" s="102"/>
      <c r="P85" s="102"/>
    </row>
    <row r="86" spans="1:16" s="101" customFormat="1" ht="13.5" x14ac:dyDescent="0.25">
      <c r="A86" s="440"/>
      <c r="B86" s="157"/>
      <c r="C86" s="158"/>
      <c r="D86" s="158"/>
      <c r="E86" s="159"/>
      <c r="F86" s="160"/>
      <c r="G86" s="157"/>
      <c r="H86" s="157"/>
      <c r="I86" s="157"/>
      <c r="J86" s="157"/>
      <c r="K86" s="105"/>
      <c r="L86" s="105"/>
      <c r="M86" s="105"/>
      <c r="N86" s="105"/>
      <c r="O86" s="102"/>
      <c r="P86" s="102"/>
    </row>
    <row r="87" spans="1:16" s="101" customFormat="1" ht="13.5" x14ac:dyDescent="0.25">
      <c r="A87" s="440"/>
      <c r="B87" s="157"/>
      <c r="C87" s="158"/>
      <c r="D87" s="158"/>
      <c r="E87" s="159"/>
      <c r="F87" s="160"/>
      <c r="G87" s="157"/>
      <c r="H87" s="157"/>
      <c r="I87" s="157"/>
      <c r="J87" s="157"/>
      <c r="K87" s="105"/>
      <c r="L87" s="105"/>
      <c r="M87" s="105"/>
      <c r="N87" s="105"/>
      <c r="O87" s="102"/>
      <c r="P87" s="102"/>
    </row>
    <row r="88" spans="1:16" s="101" customFormat="1" ht="13.5" x14ac:dyDescent="0.25">
      <c r="A88" s="440"/>
      <c r="B88" s="157"/>
      <c r="C88" s="158"/>
      <c r="D88" s="158"/>
      <c r="E88" s="159"/>
      <c r="F88" s="160"/>
      <c r="G88" s="157"/>
      <c r="H88" s="157"/>
      <c r="I88" s="157"/>
      <c r="J88" s="157"/>
      <c r="K88" s="105"/>
      <c r="L88" s="105"/>
      <c r="M88" s="105"/>
      <c r="N88" s="105"/>
      <c r="O88" s="102"/>
      <c r="P88" s="102"/>
    </row>
    <row r="89" spans="1:16" s="101" customFormat="1" ht="13.5" x14ac:dyDescent="0.25">
      <c r="A89" s="440"/>
      <c r="B89" s="157"/>
      <c r="C89" s="158"/>
      <c r="D89" s="158"/>
      <c r="E89" s="159"/>
      <c r="F89" s="160"/>
      <c r="G89" s="157"/>
      <c r="H89" s="157"/>
      <c r="I89" s="157"/>
      <c r="J89" s="157"/>
      <c r="K89" s="105"/>
      <c r="L89" s="105"/>
      <c r="M89" s="105"/>
      <c r="N89" s="105"/>
      <c r="O89" s="102"/>
      <c r="P89" s="102"/>
    </row>
    <row r="90" spans="1:16" s="101" customFormat="1" ht="13.5" x14ac:dyDescent="0.25">
      <c r="A90" s="440"/>
      <c r="B90" s="157"/>
      <c r="C90" s="158"/>
      <c r="D90" s="158"/>
      <c r="E90" s="159"/>
      <c r="F90" s="160"/>
      <c r="G90" s="157"/>
      <c r="H90" s="157"/>
      <c r="I90" s="157"/>
      <c r="J90" s="157"/>
      <c r="K90" s="105"/>
      <c r="L90" s="105"/>
      <c r="M90" s="105"/>
      <c r="N90" s="105"/>
      <c r="O90" s="102"/>
      <c r="P90" s="102"/>
    </row>
    <row r="91" spans="1:16" s="101" customFormat="1" ht="13.5" x14ac:dyDescent="0.25">
      <c r="A91" s="440"/>
      <c r="B91" s="157"/>
      <c r="C91" s="158"/>
      <c r="D91" s="158"/>
      <c r="E91" s="159"/>
      <c r="F91" s="160"/>
      <c r="G91" s="157"/>
      <c r="H91" s="157"/>
      <c r="I91" s="157"/>
      <c r="J91" s="157"/>
      <c r="K91" s="105"/>
      <c r="L91" s="105"/>
      <c r="M91" s="105"/>
      <c r="N91" s="105"/>
      <c r="O91" s="102"/>
      <c r="P91" s="102"/>
    </row>
    <row r="92" spans="1:16" s="101" customFormat="1" ht="13.5" x14ac:dyDescent="0.25">
      <c r="A92" s="440"/>
      <c r="B92" s="157"/>
      <c r="C92" s="158"/>
      <c r="D92" s="158"/>
      <c r="E92" s="159"/>
      <c r="F92" s="160"/>
      <c r="G92" s="157"/>
      <c r="H92" s="157"/>
      <c r="I92" s="157"/>
      <c r="J92" s="157"/>
      <c r="K92" s="105"/>
      <c r="L92" s="105"/>
      <c r="M92" s="105"/>
      <c r="N92" s="105"/>
      <c r="O92" s="102"/>
      <c r="P92" s="102"/>
    </row>
    <row r="93" spans="1:16" s="101" customFormat="1" ht="13.5" x14ac:dyDescent="0.25">
      <c r="A93" s="440"/>
      <c r="B93" s="157"/>
      <c r="C93" s="158"/>
      <c r="D93" s="158"/>
      <c r="E93" s="159"/>
      <c r="F93" s="160"/>
      <c r="G93" s="157"/>
      <c r="H93" s="157"/>
      <c r="I93" s="157"/>
      <c r="J93" s="157"/>
      <c r="K93" s="105"/>
      <c r="L93" s="105"/>
      <c r="M93" s="105"/>
      <c r="N93" s="105"/>
      <c r="O93" s="102"/>
      <c r="P93" s="102"/>
    </row>
    <row r="94" spans="1:16" s="101" customFormat="1" ht="13.5" x14ac:dyDescent="0.25">
      <c r="A94" s="440"/>
      <c r="B94" s="157"/>
      <c r="C94" s="158"/>
      <c r="D94" s="158"/>
      <c r="E94" s="159"/>
      <c r="F94" s="160"/>
      <c r="G94" s="157"/>
      <c r="H94" s="157"/>
      <c r="I94" s="157"/>
      <c r="J94" s="157"/>
      <c r="K94" s="105"/>
      <c r="L94" s="105"/>
      <c r="M94" s="105"/>
      <c r="N94" s="105"/>
      <c r="O94" s="102"/>
      <c r="P94" s="102"/>
    </row>
    <row r="95" spans="1:16" s="101" customFormat="1" ht="13.5" x14ac:dyDescent="0.25">
      <c r="A95" s="156"/>
      <c r="B95" s="157"/>
      <c r="C95" s="158"/>
      <c r="D95" s="158"/>
      <c r="E95" s="159"/>
      <c r="F95" s="160"/>
      <c r="G95" s="157"/>
      <c r="H95" s="157"/>
      <c r="I95" s="157"/>
      <c r="J95" s="157"/>
      <c r="K95" s="105"/>
      <c r="L95" s="105"/>
      <c r="M95" s="105"/>
      <c r="N95" s="105"/>
      <c r="O95" s="102"/>
      <c r="P95" s="102"/>
    </row>
    <row r="96" spans="1:16" s="101" customFormat="1" ht="30" customHeight="1" x14ac:dyDescent="0.25">
      <c r="A96" s="585" t="str">
        <f>A1</f>
        <v>OHS TECNOLOGIA EM SERVIÇOS EIRELI</v>
      </c>
      <c r="B96" s="586"/>
      <c r="C96" s="586"/>
      <c r="D96" s="586"/>
      <c r="E96" s="586"/>
      <c r="F96" s="586"/>
      <c r="G96" s="586"/>
      <c r="H96" s="586"/>
      <c r="I96" s="586"/>
      <c r="J96" s="586"/>
      <c r="K96" s="586"/>
      <c r="L96" s="586"/>
      <c r="M96" s="586"/>
      <c r="N96" s="587"/>
      <c r="O96" s="102"/>
      <c r="P96" s="102"/>
    </row>
    <row r="97" spans="1:16" s="101" customFormat="1" ht="25.5" customHeight="1" x14ac:dyDescent="0.25">
      <c r="A97" s="536" t="s">
        <v>164</v>
      </c>
      <c r="B97" s="572"/>
      <c r="C97" s="572"/>
      <c r="D97" s="572"/>
      <c r="E97" s="572"/>
      <c r="F97" s="572"/>
      <c r="G97" s="572"/>
      <c r="H97" s="572"/>
      <c r="I97" s="572"/>
      <c r="J97" s="572"/>
      <c r="K97" s="572"/>
      <c r="L97" s="572"/>
      <c r="M97" s="572"/>
      <c r="N97" s="573"/>
      <c r="O97" s="102"/>
      <c r="P97" s="102"/>
    </row>
    <row r="98" spans="1:16" s="101" customFormat="1" ht="23.25" x14ac:dyDescent="0.25">
      <c r="A98" s="581">
        <f>A53</f>
        <v>0</v>
      </c>
      <c r="B98" s="582"/>
      <c r="C98" s="582"/>
      <c r="D98" s="582"/>
      <c r="E98" s="582"/>
      <c r="F98" s="103"/>
      <c r="G98" s="104"/>
      <c r="H98" s="105"/>
      <c r="I98" s="105"/>
      <c r="J98" s="105"/>
      <c r="K98" s="105"/>
      <c r="L98" s="105"/>
      <c r="M98" s="105"/>
      <c r="N98" s="105"/>
      <c r="O98" s="102"/>
      <c r="P98" s="102"/>
    </row>
    <row r="99" spans="1:16" s="101" customFormat="1" ht="20.25" x14ac:dyDescent="0.25">
      <c r="A99" s="400" t="s">
        <v>6</v>
      </c>
      <c r="B99" s="1"/>
      <c r="C99" s="2"/>
      <c r="D99" s="396"/>
      <c r="E99" s="171" t="s">
        <v>8</v>
      </c>
      <c r="F99" s="103"/>
      <c r="G99" s="104"/>
      <c r="H99" s="105"/>
      <c r="I99" s="105"/>
      <c r="J99" s="105"/>
      <c r="K99" s="105"/>
      <c r="L99" s="105"/>
      <c r="M99" s="105"/>
      <c r="N99" s="105"/>
      <c r="O99" s="102"/>
      <c r="P99" s="102"/>
    </row>
    <row r="100" spans="1:16" s="101" customFormat="1" ht="40.15" customHeight="1" x14ac:dyDescent="0.3">
      <c r="A100" s="591" t="str">
        <f>A55</f>
        <v>serviços de engenharia para conclusão de serviços no edifício do Biotério do Instituto
Multidisciplinar de Saúde</v>
      </c>
      <c r="B100" s="592"/>
      <c r="C100" s="592"/>
      <c r="D100" s="592"/>
      <c r="E100" s="588">
        <f ca="1">E55</f>
        <v>44474.611615624999</v>
      </c>
      <c r="F100" s="588"/>
      <c r="G100" s="104"/>
      <c r="H100" s="105"/>
      <c r="I100" s="105"/>
      <c r="J100" s="105"/>
      <c r="K100" s="105"/>
      <c r="L100" s="105"/>
      <c r="M100" s="105"/>
      <c r="N100" s="105"/>
      <c r="O100" s="102"/>
      <c r="P100" s="102"/>
    </row>
    <row r="101" spans="1:16" s="101" customFormat="1" ht="20.25" x14ac:dyDescent="0.3">
      <c r="A101" s="593" t="s">
        <v>7</v>
      </c>
      <c r="B101" s="594"/>
      <c r="C101" s="2"/>
      <c r="D101" s="140"/>
      <c r="E101" s="172" t="s">
        <v>13</v>
      </c>
      <c r="F101" s="103"/>
      <c r="G101" s="584" t="s">
        <v>14</v>
      </c>
      <c r="H101" s="584"/>
      <c r="I101" s="105"/>
      <c r="J101" s="402" t="s">
        <v>15</v>
      </c>
      <c r="K101" s="105"/>
      <c r="L101" s="105"/>
      <c r="M101" s="105"/>
      <c r="N101" s="105"/>
      <c r="O101" s="102"/>
      <c r="P101" s="102"/>
    </row>
    <row r="102" spans="1:16" s="101" customFormat="1" ht="21" thickBot="1" x14ac:dyDescent="0.35">
      <c r="A102" s="141" t="str">
        <f>A57</f>
        <v>UFBA - CAMPUS VITORIA DA CONQUISTA</v>
      </c>
      <c r="B102" s="141"/>
      <c r="C102" s="143"/>
      <c r="D102" s="144"/>
      <c r="E102" s="583">
        <f>E57</f>
        <v>0</v>
      </c>
      <c r="F102" s="583"/>
      <c r="G102" s="583">
        <f>G57</f>
        <v>577238.39330955641</v>
      </c>
      <c r="H102" s="583"/>
      <c r="I102" s="145"/>
      <c r="J102" s="399" t="e">
        <f>G102/E102</f>
        <v>#DIV/0!</v>
      </c>
      <c r="K102" s="105"/>
      <c r="L102" s="105"/>
      <c r="M102" s="105"/>
      <c r="N102" s="105"/>
      <c r="O102" s="102"/>
      <c r="P102" s="102"/>
    </row>
    <row r="103" spans="1:16" s="101" customFormat="1" ht="14.25" thickBot="1" x14ac:dyDescent="0.3">
      <c r="A103" s="146"/>
      <c r="B103" s="147"/>
      <c r="C103" s="148"/>
      <c r="D103" s="148"/>
      <c r="E103" s="149"/>
      <c r="F103" s="150"/>
      <c r="G103" s="147"/>
      <c r="H103" s="147"/>
      <c r="I103" s="147"/>
      <c r="J103" s="147"/>
      <c r="K103" s="147"/>
      <c r="L103" s="147"/>
      <c r="M103" s="147"/>
      <c r="N103" s="147"/>
      <c r="O103" s="102"/>
      <c r="P103" s="102"/>
    </row>
    <row r="104" spans="1:16" s="101" customFormat="1" ht="13.5" x14ac:dyDescent="0.25">
      <c r="A104" s="151"/>
      <c r="B104" s="152"/>
      <c r="C104" s="153"/>
      <c r="D104" s="153"/>
      <c r="E104" s="154"/>
      <c r="F104" s="155"/>
      <c r="G104" s="152"/>
      <c r="H104" s="152"/>
      <c r="I104" s="152"/>
      <c r="J104" s="152"/>
      <c r="K104" s="105"/>
      <c r="L104" s="105"/>
      <c r="M104" s="105"/>
      <c r="N104" s="105"/>
      <c r="O104" s="102"/>
      <c r="P104" s="102"/>
    </row>
    <row r="105" spans="1:16" s="101" customFormat="1" ht="13.5" x14ac:dyDescent="0.25">
      <c r="A105" s="156"/>
      <c r="B105" s="157"/>
      <c r="C105" s="158"/>
      <c r="D105" s="158"/>
      <c r="E105" s="159"/>
      <c r="F105" s="160"/>
      <c r="G105" s="157"/>
      <c r="H105" s="157"/>
      <c r="I105" s="157"/>
      <c r="J105" s="157"/>
      <c r="K105" s="105"/>
      <c r="L105" s="105"/>
      <c r="M105" s="105"/>
      <c r="N105" s="105"/>
      <c r="O105" s="102"/>
      <c r="P105" s="102"/>
    </row>
    <row r="106" spans="1:16" s="101" customFormat="1" ht="13.5" x14ac:dyDescent="0.25">
      <c r="A106" s="156"/>
      <c r="B106" s="157"/>
      <c r="C106" s="158"/>
      <c r="D106" s="158"/>
      <c r="E106" s="159"/>
      <c r="F106" s="160"/>
      <c r="G106" s="157"/>
      <c r="H106" s="157"/>
      <c r="I106" s="157"/>
      <c r="J106" s="157"/>
      <c r="K106" s="105"/>
      <c r="L106" s="105"/>
      <c r="M106" s="105"/>
      <c r="N106" s="105"/>
      <c r="O106" s="102"/>
      <c r="P106" s="102"/>
    </row>
    <row r="107" spans="1:16" s="101" customFormat="1" ht="13.5" x14ac:dyDescent="0.25">
      <c r="A107" s="156"/>
      <c r="B107" s="157"/>
      <c r="C107" s="158"/>
      <c r="D107" s="158"/>
      <c r="E107" s="159"/>
      <c r="F107" s="160"/>
      <c r="G107" s="157"/>
      <c r="H107" s="157"/>
      <c r="I107" s="157"/>
      <c r="J107" s="157"/>
      <c r="K107" s="105"/>
      <c r="L107" s="105"/>
      <c r="M107" s="105"/>
      <c r="N107" s="105"/>
      <c r="O107" s="102"/>
      <c r="P107" s="102"/>
    </row>
    <row r="108" spans="1:16" s="101" customFormat="1" ht="13.5" x14ac:dyDescent="0.25">
      <c r="A108" s="156"/>
      <c r="B108" s="157"/>
      <c r="C108" s="158"/>
      <c r="D108" s="158"/>
      <c r="E108" s="159"/>
      <c r="F108" s="160"/>
      <c r="G108" s="157"/>
      <c r="H108" s="157"/>
      <c r="I108" s="157"/>
      <c r="J108" s="157"/>
      <c r="K108" s="105"/>
      <c r="L108" s="105"/>
      <c r="M108" s="105"/>
      <c r="N108" s="105"/>
      <c r="O108" s="102"/>
      <c r="P108" s="102"/>
    </row>
    <row r="109" spans="1:16" s="101" customFormat="1" ht="13.5" x14ac:dyDescent="0.25">
      <c r="A109" s="156"/>
      <c r="B109" s="157"/>
      <c r="C109" s="158"/>
      <c r="D109" s="158"/>
      <c r="E109" s="159"/>
      <c r="F109" s="160"/>
      <c r="G109" s="157"/>
      <c r="H109" s="157"/>
      <c r="I109" s="157"/>
      <c r="J109" s="157"/>
      <c r="K109" s="105"/>
      <c r="L109" s="105"/>
      <c r="M109" s="105"/>
      <c r="N109" s="105"/>
      <c r="O109" s="102"/>
      <c r="P109" s="102"/>
    </row>
    <row r="110" spans="1:16" s="101" customFormat="1" ht="13.5" x14ac:dyDescent="0.25">
      <c r="A110" s="156"/>
      <c r="B110" s="157"/>
      <c r="C110" s="158"/>
      <c r="D110" s="158"/>
      <c r="E110" s="159"/>
      <c r="F110" s="160"/>
      <c r="G110" s="157"/>
      <c r="H110" s="157"/>
      <c r="I110" s="157"/>
      <c r="J110" s="157"/>
      <c r="K110" s="105"/>
      <c r="L110" s="105"/>
      <c r="M110" s="105"/>
      <c r="N110" s="105"/>
      <c r="O110" s="102"/>
      <c r="P110" s="102"/>
    </row>
    <row r="111" spans="1:16" s="101" customFormat="1" ht="13.5" x14ac:dyDescent="0.25">
      <c r="A111" s="156"/>
      <c r="B111" s="157"/>
      <c r="C111" s="158"/>
      <c r="D111" s="158"/>
      <c r="E111" s="159"/>
      <c r="F111" s="160"/>
      <c r="G111" s="157"/>
      <c r="H111" s="157"/>
      <c r="I111" s="157"/>
      <c r="J111" s="157"/>
      <c r="K111" s="105"/>
      <c r="L111" s="105"/>
      <c r="M111" s="105"/>
      <c r="N111" s="105"/>
      <c r="O111" s="102"/>
      <c r="P111" s="102"/>
    </row>
    <row r="112" spans="1:16" s="101" customFormat="1" ht="13.5" x14ac:dyDescent="0.25">
      <c r="A112" s="156"/>
      <c r="B112" s="157"/>
      <c r="C112" s="158"/>
      <c r="D112" s="158"/>
      <c r="E112" s="159"/>
      <c r="F112" s="160"/>
      <c r="G112" s="157"/>
      <c r="H112" s="157"/>
      <c r="I112" s="157"/>
      <c r="J112" s="157"/>
      <c r="K112" s="105"/>
      <c r="L112" s="105"/>
      <c r="M112" s="105"/>
      <c r="N112" s="105"/>
      <c r="O112" s="102"/>
      <c r="P112" s="102"/>
    </row>
    <row r="113" spans="1:16" s="101" customFormat="1" ht="13.5" x14ac:dyDescent="0.25">
      <c r="A113" s="156"/>
      <c r="B113" s="157"/>
      <c r="C113" s="158"/>
      <c r="D113" s="158"/>
      <c r="E113" s="159"/>
      <c r="F113" s="160"/>
      <c r="G113" s="157"/>
      <c r="H113" s="157"/>
      <c r="I113" s="157"/>
      <c r="J113" s="157"/>
      <c r="K113" s="105"/>
      <c r="L113" s="105"/>
      <c r="M113" s="105"/>
      <c r="N113" s="105"/>
      <c r="O113" s="102"/>
      <c r="P113" s="102"/>
    </row>
    <row r="114" spans="1:16" s="101" customFormat="1" ht="13.5" x14ac:dyDescent="0.25">
      <c r="A114" s="156"/>
      <c r="B114" s="157"/>
      <c r="C114" s="158"/>
      <c r="D114" s="158"/>
      <c r="E114" s="159"/>
      <c r="F114" s="160"/>
      <c r="G114" s="157"/>
      <c r="H114" s="157"/>
      <c r="I114" s="157"/>
      <c r="J114" s="157"/>
      <c r="K114" s="105"/>
      <c r="L114" s="105"/>
      <c r="M114" s="105"/>
      <c r="N114" s="105"/>
      <c r="O114" s="102"/>
      <c r="P114" s="102"/>
    </row>
    <row r="115" spans="1:16" s="101" customFormat="1" ht="13.5" x14ac:dyDescent="0.25">
      <c r="A115" s="156"/>
      <c r="B115" s="157"/>
      <c r="C115" s="158"/>
      <c r="D115" s="158"/>
      <c r="E115" s="159"/>
      <c r="F115" s="160"/>
      <c r="G115" s="157"/>
      <c r="H115" s="157"/>
      <c r="I115" s="157"/>
      <c r="J115" s="157"/>
      <c r="K115" s="105"/>
      <c r="L115" s="105"/>
      <c r="M115" s="105"/>
      <c r="N115" s="105"/>
      <c r="O115" s="102"/>
      <c r="P115" s="102"/>
    </row>
    <row r="116" spans="1:16" s="101" customFormat="1" ht="13.5" x14ac:dyDescent="0.25">
      <c r="A116" s="156"/>
      <c r="B116" s="157"/>
      <c r="C116" s="158"/>
      <c r="D116" s="158"/>
      <c r="E116" s="159"/>
      <c r="F116" s="160"/>
      <c r="G116" s="157"/>
      <c r="H116" s="157"/>
      <c r="I116" s="157"/>
      <c r="J116" s="157"/>
      <c r="K116" s="105"/>
      <c r="L116" s="105"/>
      <c r="M116" s="105"/>
      <c r="N116" s="105"/>
      <c r="O116" s="102"/>
      <c r="P116" s="102"/>
    </row>
    <row r="117" spans="1:16" s="101" customFormat="1" ht="13.5" x14ac:dyDescent="0.25">
      <c r="A117" s="156"/>
      <c r="B117" s="157"/>
      <c r="C117" s="158"/>
      <c r="D117" s="158"/>
      <c r="E117" s="159"/>
      <c r="F117" s="160"/>
      <c r="G117" s="157"/>
      <c r="H117" s="157"/>
      <c r="I117" s="157"/>
      <c r="J117" s="157"/>
      <c r="K117" s="105"/>
      <c r="L117" s="105"/>
      <c r="M117" s="105"/>
      <c r="N117" s="105"/>
      <c r="O117" s="102"/>
      <c r="P117" s="102"/>
    </row>
    <row r="118" spans="1:16" s="101" customFormat="1" ht="13.5" x14ac:dyDescent="0.25">
      <c r="A118" s="156"/>
      <c r="B118" s="157"/>
      <c r="C118" s="158"/>
      <c r="D118" s="158"/>
      <c r="E118" s="159"/>
      <c r="F118" s="160"/>
      <c r="G118" s="157"/>
      <c r="H118" s="157"/>
      <c r="I118" s="157"/>
      <c r="J118" s="157"/>
      <c r="K118" s="105"/>
      <c r="L118" s="105"/>
      <c r="M118" s="105"/>
      <c r="N118" s="105"/>
      <c r="O118" s="102"/>
      <c r="P118" s="102"/>
    </row>
    <row r="119" spans="1:16" s="101" customFormat="1" ht="13.5" x14ac:dyDescent="0.25">
      <c r="A119" s="156"/>
      <c r="B119" s="157"/>
      <c r="C119" s="158"/>
      <c r="D119" s="158"/>
      <c r="E119" s="159"/>
      <c r="F119" s="160"/>
      <c r="G119" s="157"/>
      <c r="H119" s="157"/>
      <c r="I119" s="157"/>
      <c r="J119" s="157"/>
      <c r="K119" s="105"/>
      <c r="L119" s="105"/>
      <c r="M119" s="105"/>
      <c r="N119" s="105"/>
      <c r="O119" s="102"/>
      <c r="P119" s="102"/>
    </row>
    <row r="120" spans="1:16" s="101" customFormat="1" ht="13.5" x14ac:dyDescent="0.25">
      <c r="A120" s="156"/>
      <c r="B120" s="157"/>
      <c r="C120" s="158"/>
      <c r="D120" s="158"/>
      <c r="E120" s="159"/>
      <c r="F120" s="160"/>
      <c r="G120" s="157"/>
      <c r="H120" s="157"/>
      <c r="I120" s="157"/>
      <c r="J120" s="157"/>
      <c r="K120" s="105"/>
      <c r="L120" s="105"/>
      <c r="M120" s="105"/>
      <c r="N120" s="105"/>
      <c r="O120" s="102"/>
      <c r="P120" s="102"/>
    </row>
    <row r="121" spans="1:16" s="101" customFormat="1" ht="13.5" x14ac:dyDescent="0.25">
      <c r="A121" s="156"/>
      <c r="B121" s="157"/>
      <c r="C121" s="158"/>
      <c r="D121" s="158"/>
      <c r="E121" s="159"/>
      <c r="F121" s="160"/>
      <c r="G121" s="157"/>
      <c r="H121" s="157"/>
      <c r="I121" s="157"/>
      <c r="J121" s="157"/>
      <c r="K121" s="105"/>
      <c r="L121" s="105"/>
      <c r="M121" s="105"/>
      <c r="N121" s="105"/>
      <c r="O121" s="102"/>
      <c r="P121" s="102"/>
    </row>
    <row r="122" spans="1:16" s="101" customFormat="1" ht="13.5" x14ac:dyDescent="0.25">
      <c r="A122" s="156"/>
      <c r="B122" s="157"/>
      <c r="C122" s="158"/>
      <c r="D122" s="158"/>
      <c r="E122" s="159"/>
      <c r="F122" s="160"/>
      <c r="G122" s="157"/>
      <c r="H122" s="157"/>
      <c r="I122" s="157"/>
      <c r="J122" s="157"/>
      <c r="K122" s="105"/>
      <c r="L122" s="105"/>
      <c r="M122" s="105"/>
      <c r="N122" s="105"/>
      <c r="O122" s="102"/>
      <c r="P122" s="102"/>
    </row>
    <row r="123" spans="1:16" s="101" customFormat="1" ht="13.5" x14ac:dyDescent="0.25">
      <c r="A123" s="156"/>
      <c r="B123" s="157"/>
      <c r="C123" s="158"/>
      <c r="D123" s="158"/>
      <c r="E123" s="159"/>
      <c r="F123" s="160"/>
      <c r="G123" s="157"/>
      <c r="H123" s="157"/>
      <c r="I123" s="157"/>
      <c r="J123" s="157"/>
      <c r="K123" s="105"/>
      <c r="L123" s="105"/>
      <c r="M123" s="105"/>
      <c r="N123" s="105"/>
      <c r="O123" s="102"/>
      <c r="P123" s="102"/>
    </row>
    <row r="124" spans="1:16" s="101" customFormat="1" ht="13.5" x14ac:dyDescent="0.25">
      <c r="A124" s="156"/>
      <c r="B124" s="157"/>
      <c r="C124" s="158"/>
      <c r="D124" s="158"/>
      <c r="E124" s="159"/>
      <c r="F124" s="160"/>
      <c r="G124" s="157"/>
      <c r="H124" s="157"/>
      <c r="I124" s="157"/>
      <c r="J124" s="157"/>
      <c r="K124" s="105"/>
      <c r="L124" s="105"/>
      <c r="M124" s="105"/>
      <c r="N124" s="105"/>
      <c r="O124" s="102"/>
      <c r="P124" s="102"/>
    </row>
    <row r="125" spans="1:16" s="101" customFormat="1" ht="13.5" x14ac:dyDescent="0.25">
      <c r="A125" s="156"/>
      <c r="B125" s="157"/>
      <c r="C125" s="158"/>
      <c r="D125" s="158"/>
      <c r="E125" s="159"/>
      <c r="F125" s="160"/>
      <c r="G125" s="157"/>
      <c r="H125" s="157"/>
      <c r="I125" s="157"/>
      <c r="J125" s="157"/>
      <c r="K125" s="105"/>
      <c r="L125" s="105"/>
      <c r="M125" s="105"/>
      <c r="N125" s="105"/>
      <c r="O125" s="102"/>
      <c r="P125" s="102"/>
    </row>
    <row r="126" spans="1:16" s="101" customFormat="1" ht="13.5" x14ac:dyDescent="0.25">
      <c r="A126" s="156"/>
      <c r="B126" s="157"/>
      <c r="C126" s="158"/>
      <c r="D126" s="158"/>
      <c r="E126" s="159"/>
      <c r="F126" s="160"/>
      <c r="G126" s="157"/>
      <c r="H126" s="157"/>
      <c r="I126" s="157"/>
      <c r="J126" s="157"/>
      <c r="K126" s="105"/>
      <c r="L126" s="105"/>
      <c r="M126" s="105"/>
      <c r="N126" s="105"/>
      <c r="O126" s="102"/>
      <c r="P126" s="102"/>
    </row>
    <row r="127" spans="1:16" s="101" customFormat="1" ht="13.5" x14ac:dyDescent="0.25">
      <c r="A127" s="156"/>
      <c r="B127" s="157"/>
      <c r="C127" s="158"/>
      <c r="D127" s="158"/>
      <c r="E127" s="159"/>
      <c r="F127" s="160"/>
      <c r="G127" s="157"/>
      <c r="H127" s="157"/>
      <c r="I127" s="157"/>
      <c r="J127" s="157"/>
      <c r="K127" s="105"/>
      <c r="L127" s="105"/>
      <c r="M127" s="105"/>
      <c r="N127" s="105"/>
      <c r="O127" s="102"/>
      <c r="P127" s="102"/>
    </row>
    <row r="128" spans="1:16" s="101" customFormat="1" ht="13.5" x14ac:dyDescent="0.25">
      <c r="A128" s="156"/>
      <c r="B128" s="157"/>
      <c r="C128" s="158"/>
      <c r="D128" s="158"/>
      <c r="E128" s="159"/>
      <c r="F128" s="160"/>
      <c r="G128" s="157"/>
      <c r="H128" s="157"/>
      <c r="I128" s="157"/>
      <c r="J128" s="157"/>
      <c r="K128" s="105"/>
      <c r="L128" s="105"/>
      <c r="M128" s="105"/>
      <c r="N128" s="105"/>
      <c r="O128" s="102"/>
      <c r="P128" s="102"/>
    </row>
    <row r="129" spans="1:16" s="101" customFormat="1" ht="13.5" x14ac:dyDescent="0.25">
      <c r="A129" s="156"/>
      <c r="B129" s="157"/>
      <c r="C129" s="158"/>
      <c r="D129" s="158"/>
      <c r="E129" s="159"/>
      <c r="F129" s="160"/>
      <c r="G129" s="157"/>
      <c r="H129" s="157"/>
      <c r="I129" s="157"/>
      <c r="J129" s="157"/>
      <c r="K129" s="105"/>
      <c r="L129" s="105"/>
      <c r="M129" s="105"/>
      <c r="N129" s="105"/>
      <c r="O129" s="102"/>
      <c r="P129" s="102"/>
    </row>
    <row r="130" spans="1:16" s="101" customFormat="1" ht="13.5" x14ac:dyDescent="0.25">
      <c r="A130" s="156"/>
      <c r="B130" s="157"/>
      <c r="C130" s="158"/>
      <c r="D130" s="158"/>
      <c r="E130" s="159"/>
      <c r="F130" s="160"/>
      <c r="G130" s="157"/>
      <c r="H130" s="157"/>
      <c r="I130" s="157"/>
      <c r="J130" s="157"/>
      <c r="K130" s="105"/>
      <c r="L130" s="105"/>
      <c r="M130" s="105"/>
      <c r="N130" s="105"/>
      <c r="O130" s="102"/>
      <c r="P130" s="102"/>
    </row>
    <row r="131" spans="1:16" s="101" customFormat="1" ht="13.5" x14ac:dyDescent="0.25">
      <c r="A131" s="156"/>
      <c r="B131" s="157"/>
      <c r="C131" s="158"/>
      <c r="D131" s="158"/>
      <c r="E131" s="159"/>
      <c r="F131" s="160"/>
      <c r="G131" s="157"/>
      <c r="H131" s="157"/>
      <c r="I131" s="157"/>
      <c r="J131" s="157"/>
      <c r="K131" s="105"/>
      <c r="L131" s="105"/>
      <c r="M131" s="105"/>
      <c r="N131" s="105"/>
      <c r="O131" s="102"/>
      <c r="P131" s="102"/>
    </row>
    <row r="132" spans="1:16" s="101" customFormat="1" ht="13.5" x14ac:dyDescent="0.25">
      <c r="A132" s="156"/>
      <c r="B132" s="157"/>
      <c r="C132" s="158"/>
      <c r="D132" s="158"/>
      <c r="E132" s="159"/>
      <c r="F132" s="160"/>
      <c r="G132" s="157"/>
      <c r="H132" s="157"/>
      <c r="I132" s="157"/>
      <c r="J132" s="157"/>
      <c r="K132" s="105"/>
      <c r="L132" s="105"/>
      <c r="M132" s="105"/>
      <c r="N132" s="105"/>
      <c r="O132" s="102"/>
      <c r="P132" s="102"/>
    </row>
    <row r="133" spans="1:16" s="101" customFormat="1" ht="13.5" x14ac:dyDescent="0.25">
      <c r="A133" s="156"/>
      <c r="B133" s="157"/>
      <c r="C133" s="158"/>
      <c r="D133" s="158"/>
      <c r="E133" s="159"/>
      <c r="F133" s="160"/>
      <c r="G133" s="157"/>
      <c r="H133" s="157"/>
      <c r="I133" s="157"/>
      <c r="J133" s="157"/>
      <c r="K133" s="105"/>
      <c r="L133" s="105"/>
      <c r="M133" s="105"/>
      <c r="N133" s="105"/>
      <c r="O133" s="102"/>
      <c r="P133" s="102"/>
    </row>
    <row r="134" spans="1:16" s="101" customFormat="1" ht="13.5" x14ac:dyDescent="0.25">
      <c r="A134" s="156"/>
      <c r="B134" s="157"/>
      <c r="C134" s="158"/>
      <c r="D134" s="158"/>
      <c r="E134" s="159"/>
      <c r="F134" s="160"/>
      <c r="G134" s="157"/>
      <c r="H134" s="157"/>
      <c r="I134" s="157"/>
      <c r="J134" s="157"/>
      <c r="K134" s="105"/>
      <c r="L134" s="105"/>
      <c r="M134" s="105"/>
      <c r="N134" s="105"/>
      <c r="O134" s="102"/>
      <c r="P134" s="102"/>
    </row>
    <row r="135" spans="1:16" s="101" customFormat="1" ht="13.5" x14ac:dyDescent="0.25">
      <c r="A135" s="156"/>
      <c r="B135" s="157"/>
      <c r="C135" s="158"/>
      <c r="D135" s="158"/>
      <c r="E135" s="159"/>
      <c r="F135" s="160"/>
      <c r="G135" s="157"/>
      <c r="H135" s="157"/>
      <c r="I135" s="157"/>
      <c r="J135" s="157"/>
      <c r="K135" s="105"/>
      <c r="L135" s="105"/>
      <c r="M135" s="105"/>
      <c r="N135" s="105"/>
      <c r="O135" s="102"/>
      <c r="P135" s="102"/>
    </row>
    <row r="136" spans="1:16" s="101" customFormat="1" ht="13.5" x14ac:dyDescent="0.25">
      <c r="A136" s="156"/>
      <c r="B136" s="157"/>
      <c r="C136" s="158"/>
      <c r="D136" s="158"/>
      <c r="E136" s="159"/>
      <c r="F136" s="160"/>
      <c r="G136" s="157"/>
      <c r="H136" s="157"/>
      <c r="I136" s="157"/>
      <c r="J136" s="157"/>
      <c r="K136" s="105"/>
      <c r="L136" s="105"/>
      <c r="M136" s="105"/>
      <c r="N136" s="105"/>
      <c r="O136" s="102"/>
      <c r="P136" s="102"/>
    </row>
    <row r="137" spans="1:16" s="101" customFormat="1" ht="13.5" x14ac:dyDescent="0.25">
      <c r="A137" s="156"/>
      <c r="B137" s="157"/>
      <c r="C137" s="158"/>
      <c r="D137" s="158"/>
      <c r="E137" s="159"/>
      <c r="F137" s="160"/>
      <c r="G137" s="157"/>
      <c r="H137" s="157"/>
      <c r="I137" s="157"/>
      <c r="J137" s="157"/>
      <c r="K137" s="105"/>
      <c r="L137" s="105"/>
      <c r="M137" s="105"/>
      <c r="N137" s="105"/>
      <c r="O137" s="102"/>
      <c r="P137" s="102"/>
    </row>
    <row r="138" spans="1:16" s="101" customFormat="1" ht="14.25" thickBot="1" x14ac:dyDescent="0.3">
      <c r="A138" s="161"/>
      <c r="B138" s="162"/>
      <c r="C138" s="163"/>
      <c r="D138" s="163"/>
      <c r="E138" s="164"/>
      <c r="F138" s="165"/>
      <c r="G138" s="162"/>
      <c r="H138" s="162"/>
      <c r="I138" s="162"/>
      <c r="J138" s="162"/>
      <c r="K138" s="105"/>
      <c r="L138" s="105"/>
      <c r="M138" s="105"/>
      <c r="N138" s="105"/>
      <c r="O138" s="102"/>
      <c r="P138" s="102"/>
    </row>
    <row r="139" spans="1:16" s="101" customFormat="1" ht="13.5" x14ac:dyDescent="0.25">
      <c r="A139" s="166"/>
      <c r="B139" s="167"/>
      <c r="C139" s="173"/>
      <c r="D139" s="168"/>
      <c r="E139" s="169"/>
      <c r="F139" s="170"/>
      <c r="G139" s="167"/>
      <c r="H139" s="167"/>
      <c r="I139" s="167"/>
      <c r="J139" s="167"/>
      <c r="O139" s="102"/>
      <c r="P139" s="102"/>
    </row>
    <row r="140" spans="1:16" s="101" customFormat="1" ht="13.5" x14ac:dyDescent="0.25">
      <c r="A140" s="166"/>
      <c r="B140" s="167"/>
      <c r="C140" s="168"/>
      <c r="D140" s="168"/>
      <c r="E140" s="169"/>
      <c r="F140" s="170"/>
      <c r="G140" s="167"/>
      <c r="H140" s="167"/>
      <c r="I140" s="167"/>
      <c r="J140" s="167"/>
      <c r="O140" s="102"/>
      <c r="P140" s="102"/>
    </row>
    <row r="141" spans="1:16" s="101" customFormat="1" ht="13.5" x14ac:dyDescent="0.25">
      <c r="A141" s="166"/>
      <c r="B141" s="167"/>
      <c r="C141" s="168"/>
      <c r="D141" s="168"/>
      <c r="E141" s="169"/>
      <c r="F141" s="170"/>
      <c r="G141" s="167"/>
      <c r="H141" s="167"/>
      <c r="I141" s="167"/>
      <c r="J141" s="167"/>
      <c r="O141" s="102"/>
      <c r="P141" s="102"/>
    </row>
    <row r="142" spans="1:16" s="101" customFormat="1" ht="13.5" x14ac:dyDescent="0.25">
      <c r="A142" s="166"/>
      <c r="B142" s="167"/>
      <c r="C142" s="168"/>
      <c r="D142" s="168"/>
      <c r="E142" s="169"/>
      <c r="F142" s="170"/>
      <c r="G142" s="167"/>
      <c r="H142" s="167"/>
      <c r="I142" s="167"/>
      <c r="J142" s="167"/>
      <c r="O142" s="102"/>
      <c r="P142" s="102"/>
    </row>
    <row r="143" spans="1:16" s="101" customFormat="1" ht="13.5" x14ac:dyDescent="0.25">
      <c r="A143" s="166"/>
      <c r="B143" s="167"/>
      <c r="C143" s="168"/>
      <c r="D143" s="168"/>
      <c r="E143" s="169"/>
      <c r="F143" s="170"/>
      <c r="G143" s="167"/>
      <c r="H143" s="167"/>
      <c r="I143" s="167"/>
      <c r="J143" s="167"/>
      <c r="O143" s="102"/>
      <c r="P143" s="102"/>
    </row>
    <row r="144" spans="1:16" s="101" customFormat="1" ht="13.5" x14ac:dyDescent="0.25">
      <c r="A144" s="166"/>
      <c r="B144" s="167"/>
      <c r="C144" s="168"/>
      <c r="D144" s="168"/>
      <c r="E144" s="169"/>
      <c r="F144" s="170"/>
      <c r="G144" s="167"/>
      <c r="H144" s="167"/>
      <c r="I144" s="167"/>
      <c r="J144" s="167"/>
      <c r="O144" s="102"/>
      <c r="P144" s="102"/>
    </row>
    <row r="145" spans="1:16" s="101" customFormat="1" ht="13.5" x14ac:dyDescent="0.25">
      <c r="A145" s="166"/>
      <c r="B145" s="167"/>
      <c r="C145" s="168"/>
      <c r="D145" s="168"/>
      <c r="E145" s="169"/>
      <c r="F145" s="170"/>
      <c r="G145" s="167"/>
      <c r="H145" s="167"/>
      <c r="I145" s="167"/>
      <c r="J145" s="167"/>
      <c r="O145" s="102"/>
      <c r="P145" s="102"/>
    </row>
    <row r="146" spans="1:16" s="101" customFormat="1" ht="13.5" x14ac:dyDescent="0.25">
      <c r="A146" s="166"/>
      <c r="B146" s="167"/>
      <c r="C146" s="168"/>
      <c r="D146" s="168"/>
      <c r="E146" s="169"/>
      <c r="F146" s="170"/>
      <c r="G146" s="167"/>
      <c r="H146" s="167"/>
      <c r="I146" s="167"/>
      <c r="J146" s="167"/>
      <c r="O146" s="102"/>
      <c r="P146" s="102"/>
    </row>
    <row r="147" spans="1:16" s="101" customFormat="1" ht="13.5" x14ac:dyDescent="0.25">
      <c r="A147" s="166"/>
      <c r="B147" s="167"/>
      <c r="C147" s="168"/>
      <c r="D147" s="168"/>
      <c r="E147" s="169"/>
      <c r="F147" s="170"/>
      <c r="G147" s="167"/>
      <c r="H147" s="167"/>
      <c r="I147" s="167"/>
      <c r="J147" s="167"/>
      <c r="O147" s="102"/>
      <c r="P147" s="102"/>
    </row>
    <row r="148" spans="1:16" s="101" customFormat="1" ht="13.5" x14ac:dyDescent="0.25">
      <c r="A148" s="166"/>
      <c r="B148" s="167"/>
      <c r="C148" s="168"/>
      <c r="D148" s="168"/>
      <c r="E148" s="169"/>
      <c r="F148" s="170"/>
      <c r="G148" s="167"/>
      <c r="H148" s="167"/>
      <c r="I148" s="167"/>
      <c r="J148" s="167"/>
      <c r="O148" s="102"/>
      <c r="P148" s="102"/>
    </row>
    <row r="149" spans="1:16" s="101" customFormat="1" ht="13.5" x14ac:dyDescent="0.25">
      <c r="A149" s="166"/>
      <c r="B149" s="167"/>
      <c r="C149" s="168"/>
      <c r="D149" s="168"/>
      <c r="E149" s="169"/>
      <c r="F149" s="170"/>
      <c r="G149" s="167"/>
      <c r="H149" s="167"/>
      <c r="I149" s="167"/>
      <c r="J149" s="167"/>
      <c r="O149" s="102"/>
      <c r="P149" s="102"/>
    </row>
    <row r="150" spans="1:16" s="101" customFormat="1" ht="13.5" x14ac:dyDescent="0.25">
      <c r="A150" s="166"/>
      <c r="B150" s="167"/>
      <c r="C150" s="168"/>
      <c r="D150" s="168"/>
      <c r="E150" s="169"/>
      <c r="F150" s="170"/>
      <c r="G150" s="167"/>
      <c r="H150" s="167"/>
      <c r="I150" s="167"/>
      <c r="J150" s="167"/>
      <c r="O150" s="102"/>
      <c r="P150" s="102"/>
    </row>
    <row r="151" spans="1:16" s="101" customFormat="1" ht="13.5" x14ac:dyDescent="0.25">
      <c r="A151" s="166"/>
      <c r="B151" s="167"/>
      <c r="C151" s="168"/>
      <c r="D151" s="168"/>
      <c r="E151" s="169"/>
      <c r="F151" s="170"/>
      <c r="G151" s="167"/>
      <c r="H151" s="167"/>
      <c r="I151" s="167"/>
      <c r="J151" s="167"/>
      <c r="O151" s="102"/>
      <c r="P151" s="102"/>
    </row>
    <row r="152" spans="1:16" s="101" customFormat="1" ht="13.5" x14ac:dyDescent="0.25">
      <c r="A152" s="166"/>
      <c r="B152" s="167"/>
      <c r="C152" s="168"/>
      <c r="D152" s="168"/>
      <c r="E152" s="169"/>
      <c r="F152" s="170"/>
      <c r="G152" s="167"/>
      <c r="H152" s="167"/>
      <c r="I152" s="167"/>
      <c r="J152" s="167"/>
      <c r="O152" s="102"/>
      <c r="P152" s="102"/>
    </row>
    <row r="153" spans="1:16" s="101" customFormat="1" ht="13.5" x14ac:dyDescent="0.25">
      <c r="A153" s="166"/>
      <c r="B153" s="167"/>
      <c r="C153" s="168"/>
      <c r="D153" s="168"/>
      <c r="E153" s="169"/>
      <c r="F153" s="170"/>
      <c r="G153" s="167"/>
      <c r="H153" s="167"/>
      <c r="I153" s="167"/>
      <c r="J153" s="167"/>
      <c r="O153" s="102"/>
      <c r="P153" s="102"/>
    </row>
    <row r="154" spans="1:16" s="101" customFormat="1" ht="13.5" x14ac:dyDescent="0.25">
      <c r="A154" s="166"/>
      <c r="B154" s="167"/>
      <c r="C154" s="168"/>
      <c r="D154" s="168"/>
      <c r="E154" s="169"/>
      <c r="F154" s="170"/>
      <c r="G154" s="167"/>
      <c r="H154" s="167"/>
      <c r="I154" s="167"/>
      <c r="J154" s="167"/>
      <c r="O154" s="102"/>
      <c r="P154" s="102"/>
    </row>
    <row r="155" spans="1:16" ht="13.5" x14ac:dyDescent="0.25">
      <c r="A155" s="32"/>
      <c r="B155" s="33"/>
      <c r="C155" s="34"/>
      <c r="D155" s="34"/>
      <c r="E155" s="35"/>
      <c r="F155" s="36"/>
      <c r="G155" s="33"/>
      <c r="H155" s="33"/>
      <c r="I155" s="33"/>
      <c r="J155" s="33"/>
    </row>
    <row r="156" spans="1:16" ht="13.5" x14ac:dyDescent="0.25">
      <c r="A156" s="32"/>
      <c r="B156" s="33"/>
      <c r="C156" s="34"/>
      <c r="D156" s="34"/>
      <c r="E156" s="35"/>
      <c r="F156" s="36"/>
      <c r="G156" s="33"/>
      <c r="H156" s="33"/>
      <c r="I156" s="33"/>
      <c r="J156" s="33"/>
    </row>
    <row r="157" spans="1:16" ht="13.5" x14ac:dyDescent="0.25">
      <c r="A157" s="32"/>
      <c r="B157" s="33"/>
      <c r="C157" s="34"/>
      <c r="D157" s="34"/>
      <c r="E157" s="35"/>
      <c r="F157" s="36"/>
      <c r="G157" s="33"/>
      <c r="H157" s="33"/>
      <c r="I157" s="33"/>
      <c r="J157" s="33"/>
    </row>
    <row r="158" spans="1:16" ht="13.5" x14ac:dyDescent="0.25">
      <c r="A158" s="32"/>
      <c r="B158" s="33"/>
      <c r="C158" s="34"/>
      <c r="D158" s="34"/>
      <c r="E158" s="35"/>
      <c r="F158" s="36"/>
      <c r="G158" s="33"/>
      <c r="H158" s="33"/>
      <c r="I158" s="33"/>
      <c r="J158" s="33"/>
    </row>
    <row r="159" spans="1:16" ht="13.5" x14ac:dyDescent="0.25">
      <c r="A159" s="32"/>
      <c r="B159" s="33"/>
      <c r="C159" s="34"/>
      <c r="D159" s="34"/>
      <c r="E159" s="35"/>
      <c r="F159" s="36"/>
      <c r="G159" s="33"/>
      <c r="H159" s="33"/>
      <c r="I159" s="33"/>
      <c r="J159" s="33"/>
    </row>
    <row r="160" spans="1:16" ht="13.5" x14ac:dyDescent="0.25">
      <c r="A160" s="32"/>
      <c r="B160" s="33"/>
      <c r="C160" s="34"/>
      <c r="D160" s="34"/>
      <c r="E160" s="35"/>
      <c r="F160" s="36"/>
      <c r="G160" s="33"/>
      <c r="H160" s="33"/>
      <c r="I160" s="33"/>
      <c r="J160" s="33"/>
    </row>
    <row r="161" spans="1:10" ht="13.5" x14ac:dyDescent="0.25">
      <c r="A161" s="32"/>
      <c r="B161" s="33"/>
      <c r="C161" s="34"/>
      <c r="D161" s="34"/>
      <c r="E161" s="35"/>
      <c r="F161" s="36"/>
      <c r="G161" s="33"/>
      <c r="H161" s="33"/>
      <c r="I161" s="33"/>
      <c r="J161" s="33"/>
    </row>
    <row r="162" spans="1:10" ht="13.5" x14ac:dyDescent="0.25">
      <c r="A162" s="32"/>
      <c r="B162" s="33"/>
      <c r="C162" s="34"/>
      <c r="D162" s="34"/>
      <c r="E162" s="35"/>
      <c r="F162" s="36"/>
      <c r="G162" s="33"/>
      <c r="H162" s="33"/>
      <c r="I162" s="33"/>
      <c r="J162" s="33"/>
    </row>
  </sheetData>
  <mergeCells count="50">
    <mergeCell ref="K9:L9"/>
    <mergeCell ref="M9:N9"/>
    <mergeCell ref="A8:N8"/>
    <mergeCell ref="K18:L18"/>
    <mergeCell ref="M18:N18"/>
    <mergeCell ref="D9:D10"/>
    <mergeCell ref="E9:E10"/>
    <mergeCell ref="F9:F10"/>
    <mergeCell ref="G18:H18"/>
    <mergeCell ref="I18:J18"/>
    <mergeCell ref="A18:A19"/>
    <mergeCell ref="B18:B19"/>
    <mergeCell ref="C18:C19"/>
    <mergeCell ref="D18:D19"/>
    <mergeCell ref="E18:E19"/>
    <mergeCell ref="F18:F19"/>
    <mergeCell ref="A1:E1"/>
    <mergeCell ref="A2:E2"/>
    <mergeCell ref="A3:E3"/>
    <mergeCell ref="A5:D5"/>
    <mergeCell ref="E5:F5"/>
    <mergeCell ref="E56:F56"/>
    <mergeCell ref="A55:D55"/>
    <mergeCell ref="G6:H6"/>
    <mergeCell ref="E7:F7"/>
    <mergeCell ref="G7:H7"/>
    <mergeCell ref="A6:B6"/>
    <mergeCell ref="A100:D100"/>
    <mergeCell ref="E102:F102"/>
    <mergeCell ref="G102:H102"/>
    <mergeCell ref="A98:E98"/>
    <mergeCell ref="E100:F100"/>
    <mergeCell ref="A101:B101"/>
    <mergeCell ref="G101:H101"/>
    <mergeCell ref="A97:N97"/>
    <mergeCell ref="G9:H9"/>
    <mergeCell ref="I9:J9"/>
    <mergeCell ref="A9:A10"/>
    <mergeCell ref="B9:B10"/>
    <mergeCell ref="C9:C10"/>
    <mergeCell ref="A51:N51"/>
    <mergeCell ref="A53:E53"/>
    <mergeCell ref="G57:H57"/>
    <mergeCell ref="E57:F57"/>
    <mergeCell ref="G56:H56"/>
    <mergeCell ref="A52:N52"/>
    <mergeCell ref="A96:N96"/>
    <mergeCell ref="E54:F54"/>
    <mergeCell ref="E55:F55"/>
    <mergeCell ref="A56:B56"/>
  </mergeCells>
  <conditionalFormatting sqref="O25">
    <cfRule type="cellIs" dxfId="4" priority="2" stopIfTrue="1" operator="equal">
      <formula>0</formula>
    </cfRule>
    <cfRule type="cellIs" dxfId="3" priority="3" stopIfTrue="1" operator="notEqual">
      <formula>0</formula>
    </cfRule>
  </conditionalFormatting>
  <conditionalFormatting sqref="G7:H7">
    <cfRule type="cellIs" dxfId="2" priority="1" stopIfTrue="1" operator="notEqual">
      <formula>$F$24</formula>
    </cfRule>
  </conditionalFormatting>
  <printOptions horizontalCentered="1" verticalCentered="1"/>
  <pageMargins left="0.39370078740157483" right="0.39370078740157483" top="0.39370078740157483" bottom="0.39370078740157483" header="0.51181102362204722" footer="0.11811023622047245"/>
  <pageSetup paperSize="9" scale="53" fitToWidth="0" orientation="landscape" horizontalDpi="4294967295" verticalDpi="4294967295" r:id="rId1"/>
  <headerFooter alignWithMargins="0">
    <oddFooter>&amp;REng. Paulo Márcio de M. Brito</oddFooter>
  </headerFooter>
  <rowBreaks count="2" manualBreakCount="2">
    <brk id="48" max="13" man="1"/>
    <brk id="94" max="13" man="1"/>
  </rowBreaks>
  <ignoredErrors>
    <ignoredError sqref="G1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6"/>
  <sheetViews>
    <sheetView view="pageBreakPreview" topLeftCell="A19" zoomScaleSheetLayoutView="100" workbookViewId="0">
      <selection activeCell="P16" sqref="P16"/>
    </sheetView>
  </sheetViews>
  <sheetFormatPr defaultRowHeight="12.75" x14ac:dyDescent="0.2"/>
  <cols>
    <col min="1" max="1" width="9.140625" style="292"/>
    <col min="2" max="2" width="2.5703125" style="292" customWidth="1"/>
    <col min="3" max="4" width="9.140625" style="292"/>
    <col min="5" max="6" width="5.42578125" style="292" customWidth="1"/>
    <col min="7" max="7" width="4.5703125" style="292" customWidth="1"/>
    <col min="8" max="8" width="4.7109375" style="292" customWidth="1"/>
    <col min="9" max="9" width="5.140625" style="292" customWidth="1"/>
    <col min="10" max="10" width="10" style="292" customWidth="1"/>
    <col min="11" max="11" width="14.5703125" style="292" customWidth="1"/>
    <col min="12" max="12" width="10" style="292" customWidth="1"/>
    <col min="13" max="13" width="13.42578125" style="292" customWidth="1"/>
    <col min="14" max="16384" width="9.140625" style="292"/>
  </cols>
  <sheetData>
    <row r="1" spans="1:13" s="297" customFormat="1" ht="20.25" x14ac:dyDescent="0.3">
      <c r="A1" s="534" t="s">
        <v>163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321"/>
      <c r="M1" s="174"/>
    </row>
    <row r="2" spans="1:13" s="297" customFormat="1" ht="18" customHeight="1" x14ac:dyDescent="0.25">
      <c r="A2" s="607" t="s">
        <v>164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324"/>
      <c r="M2" s="175"/>
    </row>
    <row r="3" spans="1:13" s="297" customFormat="1" ht="15.75" x14ac:dyDescent="0.25">
      <c r="A3" s="612"/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175"/>
    </row>
    <row r="4" spans="1:13" s="297" customFormat="1" ht="14.25" x14ac:dyDescent="0.2">
      <c r="A4" s="88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5"/>
    </row>
    <row r="5" spans="1:13" s="297" customFormat="1" ht="15" x14ac:dyDescent="0.2">
      <c r="A5" s="298" t="s">
        <v>6</v>
      </c>
      <c r="B5" s="299"/>
      <c r="C5" s="300"/>
      <c r="D5" s="176"/>
      <c r="E5" s="176"/>
      <c r="F5" s="176"/>
      <c r="G5" s="176"/>
      <c r="H5" s="176"/>
      <c r="I5" s="176"/>
      <c r="J5" s="176"/>
      <c r="K5" s="176" t="s">
        <v>8</v>
      </c>
      <c r="L5" s="176"/>
      <c r="M5" s="175"/>
    </row>
    <row r="6" spans="1:13" s="297" customFormat="1" ht="52.5" customHeight="1" x14ac:dyDescent="0.2">
      <c r="A6" s="614" t="str">
        <f>SERVIÇOS!A7</f>
        <v>serviços de engenharia para conclusão de serviços no edifício do Biotério do Instituto
Multidisciplinar de Saúde</v>
      </c>
      <c r="B6" s="615"/>
      <c r="C6" s="615"/>
      <c r="D6" s="615"/>
      <c r="E6" s="615"/>
      <c r="F6" s="615"/>
      <c r="G6" s="615"/>
      <c r="H6" s="615"/>
      <c r="I6" s="615"/>
      <c r="J6" s="615"/>
      <c r="K6" s="611" t="s">
        <v>586</v>
      </c>
      <c r="L6" s="611"/>
      <c r="M6" s="175"/>
    </row>
    <row r="7" spans="1:13" s="297" customFormat="1" ht="15.75" customHeight="1" x14ac:dyDescent="0.25">
      <c r="A7" s="616" t="s">
        <v>7</v>
      </c>
      <c r="B7" s="617"/>
      <c r="C7" s="617"/>
      <c r="D7" s="176"/>
      <c r="E7" s="176"/>
      <c r="F7" s="176"/>
      <c r="G7" s="176"/>
      <c r="H7" s="176"/>
      <c r="I7" s="176"/>
      <c r="J7" s="176"/>
      <c r="K7" s="176" t="s">
        <v>9</v>
      </c>
      <c r="L7" s="301"/>
      <c r="M7" s="293" t="s">
        <v>101</v>
      </c>
    </row>
    <row r="8" spans="1:13" s="297" customFormat="1" ht="15.75" thickBot="1" x14ac:dyDescent="0.25">
      <c r="A8" s="609" t="str">
        <f>SERVIÇOS!A9</f>
        <v>UFBA - CAMPUS VITORIA DA CONQUISTA</v>
      </c>
      <c r="B8" s="610"/>
      <c r="C8" s="610"/>
      <c r="D8" s="610"/>
      <c r="E8" s="610"/>
      <c r="F8" s="610"/>
      <c r="G8" s="610"/>
      <c r="H8" s="610"/>
      <c r="I8" s="610"/>
      <c r="J8" s="610"/>
      <c r="K8" s="294"/>
      <c r="L8" s="177"/>
      <c r="M8" s="295">
        <f ca="1">NOW()</f>
        <v>44474.611615624999</v>
      </c>
    </row>
    <row r="9" spans="1:13" s="297" customFormat="1" ht="14.25" thickTop="1" thickBot="1" x14ac:dyDescent="0.25"/>
    <row r="10" spans="1:13" s="297" customFormat="1" ht="21" thickBot="1" x14ac:dyDescent="0.25">
      <c r="A10" s="623" t="s">
        <v>165</v>
      </c>
      <c r="B10" s="624"/>
      <c r="C10" s="624"/>
      <c r="D10" s="624"/>
      <c r="E10" s="624"/>
      <c r="F10" s="624"/>
      <c r="G10" s="624"/>
      <c r="H10" s="624"/>
      <c r="I10" s="624"/>
      <c r="J10" s="624"/>
      <c r="K10" s="624"/>
      <c r="L10" s="624"/>
      <c r="M10" s="624"/>
    </row>
    <row r="11" spans="1:13" s="297" customFormat="1" ht="15.75" thickBot="1" x14ac:dyDescent="0.25">
      <c r="A11" s="625" t="s">
        <v>166</v>
      </c>
      <c r="B11" s="626"/>
      <c r="C11" s="626"/>
      <c r="D11" s="626"/>
      <c r="E11" s="626"/>
      <c r="F11" s="626"/>
      <c r="G11" s="626"/>
      <c r="H11" s="626"/>
      <c r="I11" s="626"/>
      <c r="J11" s="626"/>
      <c r="K11" s="626"/>
      <c r="L11" s="626"/>
      <c r="M11" s="627"/>
    </row>
    <row r="12" spans="1:13" s="297" customFormat="1" ht="13.5" thickBot="1" x14ac:dyDescent="0.25">
      <c r="A12" s="650" t="s">
        <v>3</v>
      </c>
      <c r="B12" s="651"/>
      <c r="C12" s="651"/>
      <c r="D12" s="651"/>
      <c r="E12" s="651"/>
      <c r="F12" s="651"/>
      <c r="G12" s="651"/>
      <c r="H12" s="651"/>
      <c r="I12" s="652"/>
      <c r="J12" s="628" t="s">
        <v>25</v>
      </c>
      <c r="K12" s="629"/>
      <c r="L12" s="628" t="s">
        <v>26</v>
      </c>
      <c r="M12" s="629"/>
    </row>
    <row r="13" spans="1:13" x14ac:dyDescent="0.2">
      <c r="A13" s="653"/>
      <c r="B13" s="654"/>
      <c r="C13" s="654"/>
      <c r="D13" s="654"/>
      <c r="E13" s="654"/>
      <c r="F13" s="654"/>
      <c r="G13" s="654"/>
      <c r="H13" s="654"/>
      <c r="I13" s="655"/>
      <c r="J13" s="618" t="s">
        <v>27</v>
      </c>
      <c r="K13" s="618" t="s">
        <v>28</v>
      </c>
      <c r="L13" s="618" t="s">
        <v>27</v>
      </c>
      <c r="M13" s="618" t="s">
        <v>28</v>
      </c>
    </row>
    <row r="14" spans="1:13" ht="13.5" thickBot="1" x14ac:dyDescent="0.25">
      <c r="A14" s="656"/>
      <c r="B14" s="657"/>
      <c r="C14" s="657"/>
      <c r="D14" s="657"/>
      <c r="E14" s="657"/>
      <c r="F14" s="657"/>
      <c r="G14" s="657"/>
      <c r="H14" s="657"/>
      <c r="I14" s="658"/>
      <c r="J14" s="619"/>
      <c r="K14" s="619"/>
      <c r="L14" s="619"/>
      <c r="M14" s="619"/>
    </row>
    <row r="15" spans="1:13" ht="16.5" thickBot="1" x14ac:dyDescent="0.3">
      <c r="A15" s="620"/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2"/>
    </row>
    <row r="16" spans="1:13" x14ac:dyDescent="0.2">
      <c r="A16" s="630" t="s">
        <v>29</v>
      </c>
      <c r="B16" s="631"/>
      <c r="C16" s="632" t="s">
        <v>30</v>
      </c>
      <c r="D16" s="633"/>
      <c r="E16" s="633"/>
      <c r="F16" s="633"/>
      <c r="G16" s="633"/>
      <c r="H16" s="633"/>
      <c r="I16" s="634"/>
      <c r="J16" s="302"/>
      <c r="K16" s="302"/>
      <c r="L16" s="302">
        <v>20</v>
      </c>
      <c r="M16" s="303">
        <v>20</v>
      </c>
    </row>
    <row r="17" spans="1:13" x14ac:dyDescent="0.2">
      <c r="A17" s="648" t="s">
        <v>34</v>
      </c>
      <c r="B17" s="649"/>
      <c r="C17" s="635" t="s">
        <v>167</v>
      </c>
      <c r="D17" s="636"/>
      <c r="E17" s="636"/>
      <c r="F17" s="636"/>
      <c r="G17" s="636"/>
      <c r="H17" s="636"/>
      <c r="I17" s="637"/>
      <c r="J17" s="304"/>
      <c r="K17" s="304"/>
      <c r="L17" s="304">
        <v>2</v>
      </c>
      <c r="M17" s="305">
        <v>2</v>
      </c>
    </row>
    <row r="18" spans="1:13" ht="13.5" thickBot="1" x14ac:dyDescent="0.25">
      <c r="A18" s="648" t="s">
        <v>35</v>
      </c>
      <c r="B18" s="649"/>
      <c r="C18" s="635" t="s">
        <v>36</v>
      </c>
      <c r="D18" s="636"/>
      <c r="E18" s="636"/>
      <c r="F18" s="636"/>
      <c r="G18" s="636"/>
      <c r="H18" s="636"/>
      <c r="I18" s="637"/>
      <c r="J18" s="304"/>
      <c r="K18" s="304"/>
      <c r="L18" s="304">
        <v>8</v>
      </c>
      <c r="M18" s="305">
        <v>8</v>
      </c>
    </row>
    <row r="19" spans="1:13" ht="16.5" thickBot="1" x14ac:dyDescent="0.3">
      <c r="A19" s="620" t="s">
        <v>37</v>
      </c>
      <c r="B19" s="621"/>
      <c r="C19" s="621" t="s">
        <v>11</v>
      </c>
      <c r="D19" s="621"/>
      <c r="E19" s="621"/>
      <c r="F19" s="621"/>
      <c r="G19" s="621"/>
      <c r="H19" s="621"/>
      <c r="I19" s="621"/>
      <c r="J19" s="306">
        <f>SUM(J16:J18)</f>
        <v>0</v>
      </c>
      <c r="K19" s="306">
        <f>SUM(K16:K18)</f>
        <v>0</v>
      </c>
      <c r="L19" s="306">
        <f>SUM(L16:L18)</f>
        <v>30</v>
      </c>
      <c r="M19" s="307">
        <f>SUM(M16:M18)</f>
        <v>30</v>
      </c>
    </row>
    <row r="20" spans="1:13" ht="16.5" thickBot="1" x14ac:dyDescent="0.3">
      <c r="A20" s="620" t="s">
        <v>38</v>
      </c>
      <c r="B20" s="621"/>
      <c r="C20" s="621"/>
      <c r="D20" s="621"/>
      <c r="E20" s="621"/>
      <c r="F20" s="621"/>
      <c r="G20" s="621"/>
      <c r="H20" s="621"/>
      <c r="I20" s="621"/>
      <c r="J20" s="621"/>
      <c r="K20" s="621"/>
      <c r="L20" s="621"/>
      <c r="M20" s="622"/>
    </row>
    <row r="21" spans="1:13" ht="13.5" thickBot="1" x14ac:dyDescent="0.25">
      <c r="A21" s="630" t="s">
        <v>39</v>
      </c>
      <c r="B21" s="631"/>
      <c r="C21" s="632" t="s">
        <v>40</v>
      </c>
      <c r="D21" s="633"/>
      <c r="E21" s="633"/>
      <c r="F21" s="633"/>
      <c r="G21" s="633"/>
      <c r="H21" s="633"/>
      <c r="I21" s="634"/>
      <c r="J21" s="302"/>
      <c r="K21" s="302"/>
      <c r="L21" s="302">
        <v>23.19</v>
      </c>
      <c r="M21" s="303">
        <v>23.19</v>
      </c>
    </row>
    <row r="22" spans="1:13" ht="13.5" thickBot="1" x14ac:dyDescent="0.25">
      <c r="A22" s="630" t="s">
        <v>41</v>
      </c>
      <c r="B22" s="631"/>
      <c r="C22" s="632" t="s">
        <v>168</v>
      </c>
      <c r="D22" s="633"/>
      <c r="E22" s="633"/>
      <c r="F22" s="633"/>
      <c r="G22" s="633"/>
      <c r="H22" s="633"/>
      <c r="I22" s="634"/>
      <c r="J22" s="325"/>
      <c r="K22" s="325"/>
      <c r="L22" s="325">
        <v>12.67</v>
      </c>
      <c r="M22" s="326">
        <v>12.67</v>
      </c>
    </row>
    <row r="23" spans="1:13" ht="13.5" thickBot="1" x14ac:dyDescent="0.25">
      <c r="A23" s="630" t="s">
        <v>43</v>
      </c>
      <c r="B23" s="631"/>
      <c r="C23" s="635" t="s">
        <v>42</v>
      </c>
      <c r="D23" s="636"/>
      <c r="E23" s="636"/>
      <c r="F23" s="636"/>
      <c r="G23" s="636"/>
      <c r="H23" s="636"/>
      <c r="I23" s="637"/>
      <c r="J23" s="304"/>
      <c r="K23" s="304"/>
      <c r="L23" s="304">
        <v>4.34</v>
      </c>
      <c r="M23" s="305">
        <v>4.34</v>
      </c>
    </row>
    <row r="24" spans="1:13" ht="13.5" thickBot="1" x14ac:dyDescent="0.25">
      <c r="A24" s="630" t="s">
        <v>44</v>
      </c>
      <c r="B24" s="631"/>
      <c r="C24" s="635" t="s">
        <v>169</v>
      </c>
      <c r="D24" s="636"/>
      <c r="E24" s="636"/>
      <c r="F24" s="636"/>
      <c r="G24" s="636"/>
      <c r="H24" s="636"/>
      <c r="I24" s="637"/>
      <c r="J24" s="304"/>
      <c r="K24" s="304"/>
      <c r="L24" s="304">
        <v>2.4700000000000002</v>
      </c>
      <c r="M24" s="305">
        <v>2.4700000000000002</v>
      </c>
    </row>
    <row r="25" spans="1:13" ht="13.5" thickBot="1" x14ac:dyDescent="0.25">
      <c r="A25" s="630" t="s">
        <v>45</v>
      </c>
      <c r="B25" s="631"/>
      <c r="C25" s="635" t="s">
        <v>170</v>
      </c>
      <c r="D25" s="636"/>
      <c r="E25" s="636"/>
      <c r="F25" s="636"/>
      <c r="G25" s="636"/>
      <c r="H25" s="636"/>
      <c r="I25" s="637"/>
      <c r="J25" s="304"/>
      <c r="K25" s="304"/>
      <c r="L25" s="304">
        <v>5.43</v>
      </c>
      <c r="M25" s="305">
        <v>5.43</v>
      </c>
    </row>
    <row r="26" spans="1:13" ht="13.5" thickBot="1" x14ac:dyDescent="0.25">
      <c r="A26" s="630" t="s">
        <v>47</v>
      </c>
      <c r="B26" s="631"/>
      <c r="C26" s="635" t="s">
        <v>171</v>
      </c>
      <c r="D26" s="636"/>
      <c r="E26" s="636"/>
      <c r="F26" s="636"/>
      <c r="G26" s="636"/>
      <c r="H26" s="636"/>
      <c r="I26" s="637"/>
      <c r="J26" s="304"/>
      <c r="K26" s="304"/>
      <c r="L26" s="304">
        <v>10.86</v>
      </c>
      <c r="M26" s="305">
        <v>10.86</v>
      </c>
    </row>
    <row r="27" spans="1:13" ht="13.5" thickBot="1" x14ac:dyDescent="0.25">
      <c r="A27" s="630" t="s">
        <v>48</v>
      </c>
      <c r="B27" s="631"/>
      <c r="C27" s="635" t="s">
        <v>46</v>
      </c>
      <c r="D27" s="636"/>
      <c r="E27" s="636"/>
      <c r="F27" s="636"/>
      <c r="G27" s="636"/>
      <c r="H27" s="636"/>
      <c r="I27" s="637"/>
      <c r="J27" s="304"/>
      <c r="K27" s="304"/>
      <c r="L27" s="304">
        <v>0.02</v>
      </c>
      <c r="M27" s="305">
        <v>0.02</v>
      </c>
    </row>
    <row r="28" spans="1:13" ht="16.5" thickBot="1" x14ac:dyDescent="0.3">
      <c r="A28" s="620" t="s">
        <v>49</v>
      </c>
      <c r="B28" s="621"/>
      <c r="C28" s="621" t="s">
        <v>11</v>
      </c>
      <c r="D28" s="621"/>
      <c r="E28" s="621"/>
      <c r="F28" s="621"/>
      <c r="G28" s="621"/>
      <c r="H28" s="621"/>
      <c r="I28" s="621"/>
      <c r="J28" s="306">
        <f>SUM(J21:J27)</f>
        <v>0</v>
      </c>
      <c r="K28" s="306">
        <f>SUM(K21:K27)</f>
        <v>0</v>
      </c>
      <c r="L28" s="306">
        <f>SUM(L21:L27)</f>
        <v>58.980000000000004</v>
      </c>
      <c r="M28" s="307">
        <f>SUM(M21:M27)</f>
        <v>58.980000000000004</v>
      </c>
    </row>
    <row r="29" spans="1:13" ht="16.5" thickBot="1" x14ac:dyDescent="0.3">
      <c r="A29" s="620" t="s">
        <v>50</v>
      </c>
      <c r="B29" s="621"/>
      <c r="C29" s="621"/>
      <c r="D29" s="621"/>
      <c r="E29" s="621"/>
      <c r="F29" s="621"/>
      <c r="G29" s="621"/>
      <c r="H29" s="621"/>
      <c r="I29" s="621"/>
      <c r="J29" s="621"/>
      <c r="K29" s="621"/>
      <c r="L29" s="621"/>
      <c r="M29" s="622"/>
    </row>
    <row r="30" spans="1:13" ht="13.5" thickBot="1" x14ac:dyDescent="0.25">
      <c r="A30" s="638" t="s">
        <v>51</v>
      </c>
      <c r="B30" s="639"/>
      <c r="C30" s="640" t="s">
        <v>172</v>
      </c>
      <c r="D30" s="641"/>
      <c r="E30" s="641"/>
      <c r="F30" s="641"/>
      <c r="G30" s="641"/>
      <c r="H30" s="641"/>
      <c r="I30" s="642"/>
      <c r="J30" s="308"/>
      <c r="K30" s="308"/>
      <c r="L30" s="308">
        <v>5.08</v>
      </c>
      <c r="M30" s="310">
        <v>5.08</v>
      </c>
    </row>
    <row r="31" spans="1:13" x14ac:dyDescent="0.2">
      <c r="A31" s="638" t="s">
        <v>52</v>
      </c>
      <c r="B31" s="639"/>
      <c r="C31" s="643" t="s">
        <v>173</v>
      </c>
      <c r="D31" s="644"/>
      <c r="E31" s="644"/>
      <c r="F31" s="644"/>
      <c r="G31" s="644"/>
      <c r="H31" s="644"/>
      <c r="I31" s="645"/>
      <c r="J31" s="309"/>
      <c r="K31" s="309"/>
      <c r="L31" s="309">
        <v>1.27</v>
      </c>
      <c r="M31" s="311">
        <v>1.27</v>
      </c>
    </row>
    <row r="32" spans="1:13" ht="13.5" thickBot="1" x14ac:dyDescent="0.25">
      <c r="A32" s="646" t="s">
        <v>52</v>
      </c>
      <c r="B32" s="647"/>
      <c r="C32" s="643" t="s">
        <v>174</v>
      </c>
      <c r="D32" s="644"/>
      <c r="E32" s="644"/>
      <c r="F32" s="644"/>
      <c r="G32" s="644"/>
      <c r="H32" s="644"/>
      <c r="I32" s="645"/>
      <c r="J32" s="309"/>
      <c r="K32" s="309"/>
      <c r="L32" s="309">
        <v>17.690000000000001</v>
      </c>
      <c r="M32" s="311">
        <v>17.690000000000001</v>
      </c>
    </row>
    <row r="33" spans="1:13" ht="16.5" thickBot="1" x14ac:dyDescent="0.3">
      <c r="A33" s="620" t="s">
        <v>53</v>
      </c>
      <c r="B33" s="621"/>
      <c r="C33" s="621" t="s">
        <v>11</v>
      </c>
      <c r="D33" s="621"/>
      <c r="E33" s="621"/>
      <c r="F33" s="621"/>
      <c r="G33" s="621"/>
      <c r="H33" s="621"/>
      <c r="I33" s="621"/>
      <c r="J33" s="312">
        <f>SUM(J30:J32)</f>
        <v>0</v>
      </c>
      <c r="K33" s="312">
        <f>SUM(K30:K32)</f>
        <v>0</v>
      </c>
      <c r="L33" s="312">
        <f>SUM(L30:L32)</f>
        <v>24.04</v>
      </c>
      <c r="M33" s="313">
        <f>SUM(M30:M32)</f>
        <v>24.04</v>
      </c>
    </row>
    <row r="34" spans="1:13" ht="16.5" thickBot="1" x14ac:dyDescent="0.3">
      <c r="A34" s="327"/>
      <c r="B34" s="328"/>
      <c r="C34" s="328"/>
      <c r="D34" s="328"/>
      <c r="E34" s="328"/>
      <c r="F34" s="328"/>
      <c r="G34" s="328"/>
      <c r="H34" s="328"/>
      <c r="I34" s="328"/>
      <c r="J34" s="314"/>
      <c r="K34" s="314"/>
      <c r="L34" s="314"/>
      <c r="M34" s="315"/>
    </row>
    <row r="35" spans="1:13" ht="16.5" thickBot="1" x14ac:dyDescent="0.3">
      <c r="A35" s="620"/>
      <c r="B35" s="621"/>
      <c r="C35" s="621" t="s">
        <v>175</v>
      </c>
      <c r="D35" s="621"/>
      <c r="E35" s="621"/>
      <c r="F35" s="621"/>
      <c r="G35" s="621"/>
      <c r="H35" s="621"/>
      <c r="I35" s="621"/>
      <c r="J35" s="316">
        <v>0</v>
      </c>
      <c r="K35" s="316">
        <v>0</v>
      </c>
      <c r="L35" s="316">
        <f>L33+L28+L19</f>
        <v>113.02000000000001</v>
      </c>
      <c r="M35" s="317">
        <f>M33+M28+M19</f>
        <v>113.02000000000001</v>
      </c>
    </row>
    <row r="36" spans="1:13" x14ac:dyDescent="0.2">
      <c r="A36" s="297"/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</row>
  </sheetData>
  <mergeCells count="53">
    <mergeCell ref="C18:I18"/>
    <mergeCell ref="A18:B18"/>
    <mergeCell ref="C17:I17"/>
    <mergeCell ref="A17:B17"/>
    <mergeCell ref="A12:I14"/>
    <mergeCell ref="A16:B16"/>
    <mergeCell ref="C16:I16"/>
    <mergeCell ref="A35:B35"/>
    <mergeCell ref="C35:I35"/>
    <mergeCell ref="A32:B32"/>
    <mergeCell ref="C32:I32"/>
    <mergeCell ref="A33:B33"/>
    <mergeCell ref="C33:I33"/>
    <mergeCell ref="A30:B30"/>
    <mergeCell ref="C30:I30"/>
    <mergeCell ref="A31:B31"/>
    <mergeCell ref="C31:I31"/>
    <mergeCell ref="A29:M29"/>
    <mergeCell ref="A28:B28"/>
    <mergeCell ref="C28:I28"/>
    <mergeCell ref="A22:B22"/>
    <mergeCell ref="C22:I22"/>
    <mergeCell ref="A23:B23"/>
    <mergeCell ref="C23:I23"/>
    <mergeCell ref="A24:B24"/>
    <mergeCell ref="C24:I24"/>
    <mergeCell ref="A25:B25"/>
    <mergeCell ref="C25:I25"/>
    <mergeCell ref="A27:B27"/>
    <mergeCell ref="C27:I27"/>
    <mergeCell ref="A26:B26"/>
    <mergeCell ref="C26:I26"/>
    <mergeCell ref="A19:B19"/>
    <mergeCell ref="C19:I19"/>
    <mergeCell ref="A21:B21"/>
    <mergeCell ref="C21:I21"/>
    <mergeCell ref="A20:M20"/>
    <mergeCell ref="M13:M14"/>
    <mergeCell ref="A15:M15"/>
    <mergeCell ref="A10:M10"/>
    <mergeCell ref="A11:M11"/>
    <mergeCell ref="J12:K12"/>
    <mergeCell ref="L12:M12"/>
    <mergeCell ref="J13:J14"/>
    <mergeCell ref="K13:K14"/>
    <mergeCell ref="L13:L14"/>
    <mergeCell ref="A1:K1"/>
    <mergeCell ref="A2:K2"/>
    <mergeCell ref="A8:J8"/>
    <mergeCell ref="K6:L6"/>
    <mergeCell ref="A3:L3"/>
    <mergeCell ref="A6:J6"/>
    <mergeCell ref="A7:C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BE91-7248-4AFF-9226-370701A4DFE2}">
  <dimension ref="A1:AY55"/>
  <sheetViews>
    <sheetView view="pageBreakPreview" topLeftCell="A19" zoomScaleNormal="90" zoomScaleSheetLayoutView="100" workbookViewId="0">
      <selection activeCell="B51" sqref="B51"/>
    </sheetView>
  </sheetViews>
  <sheetFormatPr defaultRowHeight="14.25" x14ac:dyDescent="0.2"/>
  <cols>
    <col min="1" max="1" width="10.28515625" style="89" customWidth="1"/>
    <col min="2" max="2" width="56.7109375" style="89" customWidth="1"/>
    <col min="3" max="3" width="18.7109375" style="89" customWidth="1"/>
    <col min="4" max="4" width="2" style="89" customWidth="1"/>
    <col min="5" max="5" width="14.7109375" style="89" customWidth="1"/>
    <col min="6" max="6" width="1" style="89" customWidth="1"/>
    <col min="7" max="7" width="10.42578125" style="89" customWidth="1"/>
    <col min="8" max="8" width="11.42578125" style="89" customWidth="1"/>
    <col min="9" max="9" width="2.140625" style="89" customWidth="1"/>
    <col min="10" max="13" width="9.140625" style="89"/>
    <col min="14" max="14" width="69.7109375" style="89" customWidth="1"/>
    <col min="15" max="15" width="9.7109375" style="89" bestFit="1" customWidth="1"/>
    <col min="16" max="16" width="13.28515625" style="89" customWidth="1"/>
    <col min="17" max="17" width="14.42578125" style="89" customWidth="1"/>
    <col min="18" max="18" width="23.28515625" style="89" customWidth="1"/>
    <col min="19" max="16384" width="9.140625" style="89"/>
  </cols>
  <sheetData>
    <row r="1" spans="1:51" ht="20.25" x14ac:dyDescent="0.2">
      <c r="A1" s="534" t="s">
        <v>163</v>
      </c>
      <c r="B1" s="535"/>
      <c r="C1" s="535"/>
      <c r="D1" s="535"/>
      <c r="E1" s="322"/>
      <c r="F1" s="322"/>
      <c r="G1" s="322"/>
      <c r="H1" s="322"/>
      <c r="I1" s="322"/>
      <c r="J1" s="322"/>
      <c r="K1" s="322"/>
    </row>
    <row r="2" spans="1:51" x14ac:dyDescent="0.2">
      <c r="A2" s="607" t="s">
        <v>164</v>
      </c>
      <c r="B2" s="608"/>
      <c r="C2" s="608"/>
      <c r="D2" s="608"/>
      <c r="E2" s="323"/>
      <c r="F2" s="323"/>
      <c r="G2" s="323"/>
      <c r="H2" s="323"/>
      <c r="I2" s="323"/>
      <c r="J2" s="323"/>
      <c r="K2" s="323"/>
    </row>
    <row r="3" spans="1:51" ht="18" x14ac:dyDescent="0.25">
      <c r="A3" s="536"/>
      <c r="B3" s="572"/>
      <c r="C3" s="572"/>
      <c r="D3" s="572"/>
      <c r="E3" s="572"/>
      <c r="F3" s="176"/>
      <c r="G3" s="176"/>
      <c r="H3" s="175"/>
    </row>
    <row r="4" spans="1:51" x14ac:dyDescent="0.2">
      <c r="A4" s="88"/>
      <c r="B4" s="176"/>
      <c r="C4" s="176"/>
      <c r="D4" s="176"/>
      <c r="E4" s="176"/>
      <c r="F4" s="176"/>
      <c r="G4" s="176"/>
      <c r="H4" s="175"/>
    </row>
    <row r="5" spans="1:51" ht="15.75" x14ac:dyDescent="0.25">
      <c r="A5" s="480" t="s">
        <v>6</v>
      </c>
      <c r="B5" s="481"/>
      <c r="C5" s="1"/>
      <c r="D5" s="548" t="s">
        <v>8</v>
      </c>
      <c r="E5" s="548"/>
      <c r="F5" s="176"/>
      <c r="G5" s="176"/>
      <c r="H5" s="175"/>
    </row>
    <row r="6" spans="1:51" ht="36" customHeight="1" x14ac:dyDescent="0.25">
      <c r="A6" s="659" t="str">
        <f>'ENCARGOS SOCIAIS'!A6:J6</f>
        <v>serviços de engenharia para conclusão de serviços no edifício do Biotério do Instituto
Multidisciplinar de Saúde</v>
      </c>
      <c r="B6" s="660"/>
      <c r="C6" s="660"/>
      <c r="D6" s="661" t="str">
        <f>SERVIÇOS!D7</f>
        <v>SETEMBRO/2021</v>
      </c>
      <c r="E6" s="662"/>
      <c r="F6" s="176"/>
      <c r="G6" s="176"/>
      <c r="H6" s="175"/>
    </row>
    <row r="7" spans="1:51" ht="15.75" x14ac:dyDescent="0.25">
      <c r="A7" s="550" t="s">
        <v>7</v>
      </c>
      <c r="B7" s="551"/>
      <c r="C7" s="551"/>
      <c r="D7" s="548" t="s">
        <v>9</v>
      </c>
      <c r="E7" s="548"/>
      <c r="F7" s="176"/>
      <c r="G7" s="663" t="s">
        <v>100</v>
      </c>
      <c r="H7" s="664"/>
    </row>
    <row r="8" spans="1:51" ht="16.5" thickBot="1" x14ac:dyDescent="0.3">
      <c r="A8" s="665" t="str">
        <f>SERVIÇOS!A9</f>
        <v>UFBA - CAMPUS VITORIA DA CONQUISTA</v>
      </c>
      <c r="B8" s="666"/>
      <c r="C8" s="666"/>
      <c r="D8" s="667">
        <f>SERVIÇOS!D9</f>
        <v>0</v>
      </c>
      <c r="E8" s="667"/>
      <c r="F8" s="177"/>
      <c r="G8" s="668">
        <f ca="1">NOW()</f>
        <v>44474.611615624999</v>
      </c>
      <c r="H8" s="669"/>
    </row>
    <row r="9" spans="1:51" ht="15.75" thickTop="1" thickBot="1" x14ac:dyDescent="0.25"/>
    <row r="10" spans="1:51" s="188" customFormat="1" ht="14.25" customHeight="1" x14ac:dyDescent="0.2">
      <c r="A10" s="670" t="s">
        <v>103</v>
      </c>
      <c r="B10" s="671"/>
      <c r="C10" s="671"/>
      <c r="D10" s="671"/>
      <c r="E10" s="672"/>
      <c r="F10" s="178"/>
      <c r="G10" s="179"/>
      <c r="H10" s="180"/>
      <c r="I10" s="181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4"/>
      <c r="V10" s="183"/>
      <c r="W10" s="183"/>
      <c r="X10" s="183"/>
      <c r="Y10" s="183"/>
      <c r="Z10" s="185"/>
      <c r="AA10" s="183"/>
      <c r="AB10" s="183"/>
      <c r="AC10" s="183"/>
      <c r="AD10" s="183"/>
      <c r="AE10" s="676"/>
      <c r="AF10" s="183"/>
      <c r="AG10" s="183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7"/>
    </row>
    <row r="11" spans="1:51" s="188" customFormat="1" ht="14.25" customHeight="1" thickBot="1" x14ac:dyDescent="0.25">
      <c r="A11" s="673"/>
      <c r="B11" s="674"/>
      <c r="C11" s="674"/>
      <c r="D11" s="674"/>
      <c r="E11" s="675"/>
      <c r="F11" s="178"/>
      <c r="G11" s="189"/>
      <c r="H11" s="190"/>
      <c r="I11" s="181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  <c r="U11" s="184"/>
      <c r="V11" s="183"/>
      <c r="W11" s="183"/>
      <c r="X11" s="183"/>
      <c r="Y11" s="183"/>
      <c r="Z11" s="185"/>
      <c r="AA11" s="183"/>
      <c r="AB11" s="183"/>
      <c r="AC11" s="183"/>
      <c r="AD11" s="183"/>
      <c r="AE11" s="676"/>
      <c r="AF11" s="183"/>
      <c r="AG11" s="183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7"/>
    </row>
    <row r="12" spans="1:51" s="188" customFormat="1" ht="4.5" customHeight="1" thickBot="1" x14ac:dyDescent="0.25">
      <c r="A12" s="191"/>
      <c r="B12" s="192"/>
      <c r="C12" s="192"/>
      <c r="D12" s="192"/>
      <c r="E12" s="193"/>
      <c r="F12" s="194"/>
      <c r="G12" s="195"/>
      <c r="H12" s="190"/>
      <c r="I12" s="181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3"/>
      <c r="U12" s="184"/>
      <c r="V12" s="183"/>
      <c r="W12" s="183"/>
      <c r="X12" s="183"/>
      <c r="Y12" s="183"/>
      <c r="Z12" s="185"/>
      <c r="AA12" s="183"/>
      <c r="AB12" s="183"/>
      <c r="AC12" s="183"/>
      <c r="AD12" s="183"/>
      <c r="AE12" s="676"/>
      <c r="AF12" s="183"/>
      <c r="AG12" s="183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7"/>
    </row>
    <row r="13" spans="1:51" s="188" customFormat="1" ht="27" customHeight="1" thickBot="1" x14ac:dyDescent="0.25">
      <c r="A13" s="677" t="str">
        <f>SERVIÇOS!A7</f>
        <v>serviços de engenharia para conclusão de serviços no edifício do Biotério do Instituto
Multidisciplinar de Saúde</v>
      </c>
      <c r="B13" s="678"/>
      <c r="C13" s="679" t="s">
        <v>54</v>
      </c>
      <c r="D13" s="680"/>
      <c r="E13" s="196"/>
      <c r="F13" s="197"/>
      <c r="G13" s="198"/>
      <c r="H13" s="199"/>
      <c r="I13" s="181"/>
      <c r="J13" s="182"/>
      <c r="K13" s="182"/>
      <c r="L13" s="200"/>
      <c r="M13" s="681"/>
      <c r="N13" s="681"/>
      <c r="O13" s="681"/>
      <c r="P13" s="182"/>
      <c r="Q13" s="182"/>
      <c r="R13" s="182"/>
      <c r="S13" s="182"/>
      <c r="T13" s="182"/>
      <c r="U13" s="201"/>
      <c r="V13" s="202"/>
      <c r="W13" s="203"/>
      <c r="X13" s="204"/>
      <c r="Y13" s="205"/>
      <c r="Z13" s="206"/>
      <c r="AA13" s="207"/>
      <c r="AB13" s="208"/>
      <c r="AC13" s="208"/>
      <c r="AD13" s="208"/>
      <c r="AE13" s="676"/>
      <c r="AF13" s="207"/>
      <c r="AG13" s="182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7"/>
    </row>
    <row r="14" spans="1:51" s="188" customFormat="1" ht="14.25" customHeight="1" thickBot="1" x14ac:dyDescent="0.25">
      <c r="A14" s="209" t="s">
        <v>55</v>
      </c>
      <c r="B14" s="210"/>
      <c r="C14" s="679" t="s">
        <v>56</v>
      </c>
      <c r="D14" s="680"/>
      <c r="E14" s="211">
        <f ca="1">SERVIÇOS!F7</f>
        <v>44474.611615624999</v>
      </c>
      <c r="F14" s="194"/>
      <c r="G14" s="212"/>
      <c r="H14" s="213"/>
      <c r="I14" s="181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201"/>
      <c r="V14" s="202"/>
      <c r="W14" s="203"/>
      <c r="X14" s="204"/>
      <c r="Y14" s="214"/>
      <c r="Z14" s="215"/>
      <c r="AA14" s="216"/>
      <c r="AB14" s="208"/>
      <c r="AC14" s="208"/>
      <c r="AD14" s="208"/>
      <c r="AE14" s="676"/>
      <c r="AF14" s="216"/>
      <c r="AG14" s="182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7"/>
    </row>
    <row r="15" spans="1:51" ht="3.75" customHeight="1" thickBot="1" x14ac:dyDescent="0.25">
      <c r="A15" s="217"/>
      <c r="B15" s="218"/>
      <c r="C15" s="218"/>
      <c r="D15" s="218"/>
      <c r="E15" s="218"/>
      <c r="F15" s="176"/>
      <c r="G15" s="176"/>
      <c r="H15" s="175"/>
    </row>
    <row r="16" spans="1:51" ht="18" customHeight="1" thickBot="1" x14ac:dyDescent="0.25">
      <c r="A16" s="684" t="s">
        <v>104</v>
      </c>
      <c r="B16" s="685"/>
      <c r="C16" s="685"/>
      <c r="D16" s="685"/>
      <c r="E16" s="685"/>
      <c r="F16" s="685"/>
      <c r="G16" s="685"/>
      <c r="H16" s="686"/>
    </row>
    <row r="17" spans="1:18" ht="3.75" customHeight="1" thickBot="1" x14ac:dyDescent="0.25">
      <c r="A17" s="217"/>
      <c r="B17" s="218"/>
      <c r="C17" s="218"/>
      <c r="D17" s="218"/>
      <c r="E17" s="218"/>
      <c r="F17" s="176"/>
      <c r="G17" s="176"/>
      <c r="H17" s="175"/>
    </row>
    <row r="18" spans="1:18" ht="15.75" thickBot="1" x14ac:dyDescent="0.25">
      <c r="A18" s="684" t="s">
        <v>57</v>
      </c>
      <c r="B18" s="685"/>
      <c r="C18" s="686"/>
      <c r="D18" s="218"/>
      <c r="E18" s="687" t="s">
        <v>58</v>
      </c>
      <c r="F18" s="688"/>
      <c r="G18" s="689"/>
      <c r="H18" s="690"/>
    </row>
    <row r="19" spans="1:18" ht="22.5" customHeight="1" x14ac:dyDescent="0.25">
      <c r="A19" s="695" t="s">
        <v>17</v>
      </c>
      <c r="B19" s="697" t="s">
        <v>59</v>
      </c>
      <c r="C19" s="699" t="s">
        <v>60</v>
      </c>
      <c r="D19" s="219"/>
      <c r="E19" s="691"/>
      <c r="F19" s="692"/>
      <c r="G19" s="693"/>
      <c r="H19" s="694"/>
      <c r="N19" s="220"/>
      <c r="O19" s="221"/>
      <c r="P19" s="222"/>
      <c r="Q19" s="42"/>
      <c r="R19" s="42"/>
    </row>
    <row r="20" spans="1:18" ht="18.75" thickBot="1" x14ac:dyDescent="0.3">
      <c r="A20" s="696"/>
      <c r="B20" s="698"/>
      <c r="C20" s="700"/>
      <c r="D20" s="219"/>
      <c r="E20" s="482" t="s">
        <v>61</v>
      </c>
      <c r="F20" s="701" t="s">
        <v>62</v>
      </c>
      <c r="G20" s="702"/>
      <c r="H20" s="483" t="s">
        <v>63</v>
      </c>
      <c r="N20" s="220"/>
      <c r="O20" s="221"/>
      <c r="P20" s="222"/>
      <c r="Q20" s="42"/>
      <c r="R20" s="42"/>
    </row>
    <row r="21" spans="1:18" ht="3" customHeight="1" thickBot="1" x14ac:dyDescent="0.3">
      <c r="A21" s="703"/>
      <c r="B21" s="704"/>
      <c r="C21" s="704"/>
      <c r="D21" s="484"/>
      <c r="E21" s="484"/>
      <c r="F21" s="176"/>
      <c r="G21" s="176"/>
      <c r="H21" s="175"/>
      <c r="N21" s="220"/>
      <c r="O21" s="226"/>
      <c r="P21" s="227"/>
      <c r="Q21" s="227"/>
      <c r="R21" s="227"/>
    </row>
    <row r="22" spans="1:18" ht="18" x14ac:dyDescent="0.25">
      <c r="A22" s="228" t="s">
        <v>64</v>
      </c>
      <c r="B22" s="705" t="s">
        <v>65</v>
      </c>
      <c r="C22" s="706"/>
      <c r="D22" s="229"/>
      <c r="E22" s="230"/>
      <c r="F22" s="707"/>
      <c r="G22" s="708"/>
      <c r="H22" s="231"/>
      <c r="N22" s="227"/>
      <c r="O22" s="226"/>
      <c r="P22" s="232"/>
      <c r="Q22" s="227"/>
      <c r="R22" s="227"/>
    </row>
    <row r="23" spans="1:18" ht="18" x14ac:dyDescent="0.25">
      <c r="A23" s="233" t="s">
        <v>29</v>
      </c>
      <c r="B23" s="234" t="s">
        <v>66</v>
      </c>
      <c r="C23" s="235">
        <v>0.01</v>
      </c>
      <c r="D23" s="488"/>
      <c r="E23" s="237">
        <v>8.0000000000000002E-3</v>
      </c>
      <c r="F23" s="682">
        <v>8.0000000000000002E-3</v>
      </c>
      <c r="G23" s="683"/>
      <c r="H23" s="238">
        <v>0.01</v>
      </c>
      <c r="N23" s="227"/>
      <c r="O23" s="239"/>
      <c r="P23" s="240"/>
      <c r="Q23" s="241"/>
      <c r="R23" s="242"/>
    </row>
    <row r="24" spans="1:18" ht="18" x14ac:dyDescent="0.25">
      <c r="A24" s="233" t="s">
        <v>31</v>
      </c>
      <c r="B24" s="234" t="s">
        <v>67</v>
      </c>
      <c r="C24" s="235">
        <v>0.01</v>
      </c>
      <c r="D24" s="488"/>
      <c r="E24" s="237">
        <v>9.7000000000000003E-3</v>
      </c>
      <c r="F24" s="682">
        <v>1.2699999999999999E-2</v>
      </c>
      <c r="G24" s="683"/>
      <c r="H24" s="238">
        <v>1.2699999999999999E-2</v>
      </c>
      <c r="N24" s="227"/>
      <c r="O24" s="239"/>
      <c r="P24" s="240"/>
      <c r="Q24" s="243"/>
      <c r="R24" s="242"/>
    </row>
    <row r="25" spans="1:18" ht="18" x14ac:dyDescent="0.25">
      <c r="A25" s="233" t="s">
        <v>32</v>
      </c>
      <c r="B25" s="234" t="s">
        <v>68</v>
      </c>
      <c r="C25" s="235">
        <v>9.7999999999999997E-3</v>
      </c>
      <c r="D25" s="488"/>
      <c r="E25" s="237">
        <v>5.8999999999999999E-3</v>
      </c>
      <c r="F25" s="682">
        <v>1.23E-2</v>
      </c>
      <c r="G25" s="683"/>
      <c r="H25" s="238">
        <v>1.3899999999999999E-2</v>
      </c>
      <c r="N25" s="227"/>
      <c r="O25" s="239"/>
      <c r="P25" s="240"/>
      <c r="Q25" s="243"/>
      <c r="R25" s="242"/>
    </row>
    <row r="26" spans="1:18" ht="18" x14ac:dyDescent="0.25">
      <c r="A26" s="233" t="s">
        <v>33</v>
      </c>
      <c r="B26" s="234" t="s">
        <v>69</v>
      </c>
      <c r="C26" s="235">
        <v>2.23E-2</v>
      </c>
      <c r="D26" s="488"/>
      <c r="E26" s="237">
        <v>0.03</v>
      </c>
      <c r="F26" s="682">
        <v>0.04</v>
      </c>
      <c r="G26" s="683"/>
      <c r="H26" s="238">
        <v>5.5E-2</v>
      </c>
      <c r="N26" s="227"/>
      <c r="O26" s="239"/>
      <c r="P26" s="240"/>
      <c r="Q26" s="243"/>
      <c r="R26" s="242"/>
    </row>
    <row r="27" spans="1:18" ht="18.75" thickBot="1" x14ac:dyDescent="0.3">
      <c r="A27" s="709" t="s">
        <v>70</v>
      </c>
      <c r="B27" s="710"/>
      <c r="C27" s="244">
        <f>SUM(C23:C26)</f>
        <v>5.21E-2</v>
      </c>
      <c r="D27" s="245"/>
      <c r="E27" s="246"/>
      <c r="F27" s="711"/>
      <c r="G27" s="712"/>
      <c r="H27" s="247"/>
      <c r="N27" s="227"/>
      <c r="O27" s="239"/>
      <c r="P27" s="240"/>
      <c r="Q27" s="243"/>
      <c r="R27" s="242"/>
    </row>
    <row r="28" spans="1:18" ht="3" customHeight="1" thickBot="1" x14ac:dyDescent="0.3">
      <c r="A28" s="713"/>
      <c r="B28" s="714"/>
      <c r="C28" s="714"/>
      <c r="D28" s="485"/>
      <c r="E28" s="488"/>
      <c r="F28" s="488"/>
      <c r="G28" s="488"/>
      <c r="H28" s="249"/>
      <c r="N28" s="250"/>
      <c r="O28" s="250"/>
      <c r="P28" s="240"/>
      <c r="Q28" s="243"/>
      <c r="R28" s="251"/>
    </row>
    <row r="29" spans="1:18" ht="15" customHeight="1" x14ac:dyDescent="0.25">
      <c r="A29" s="228" t="s">
        <v>71</v>
      </c>
      <c r="B29" s="705" t="s">
        <v>72</v>
      </c>
      <c r="C29" s="706"/>
      <c r="D29" s="229"/>
      <c r="E29" s="252"/>
      <c r="F29" s="715"/>
      <c r="G29" s="716"/>
      <c r="H29" s="253"/>
      <c r="N29" s="250"/>
      <c r="O29" s="250"/>
      <c r="P29" s="240"/>
      <c r="Q29" s="243"/>
      <c r="R29" s="251"/>
    </row>
    <row r="30" spans="1:18" ht="15" customHeight="1" x14ac:dyDescent="0.25">
      <c r="A30" s="233" t="s">
        <v>73</v>
      </c>
      <c r="B30" s="234" t="s">
        <v>74</v>
      </c>
      <c r="C30" s="235">
        <v>5.3499999999999999E-2</v>
      </c>
      <c r="D30" s="488"/>
      <c r="E30" s="237">
        <v>6.1600000000000002E-2</v>
      </c>
      <c r="F30" s="682">
        <v>7.3999999999999996E-2</v>
      </c>
      <c r="G30" s="683"/>
      <c r="H30" s="238">
        <v>8.9599999999999999E-2</v>
      </c>
      <c r="N30" s="250"/>
      <c r="O30" s="250"/>
      <c r="P30" s="240"/>
      <c r="Q30" s="243"/>
      <c r="R30" s="251"/>
    </row>
    <row r="31" spans="1:18" ht="15" customHeight="1" thickBot="1" x14ac:dyDescent="0.3">
      <c r="A31" s="709" t="s">
        <v>75</v>
      </c>
      <c r="B31" s="710"/>
      <c r="C31" s="244">
        <f>SUM(C30)</f>
        <v>5.3499999999999999E-2</v>
      </c>
      <c r="D31" s="245"/>
      <c r="E31" s="246"/>
      <c r="F31" s="711"/>
      <c r="G31" s="712"/>
      <c r="H31" s="247"/>
      <c r="N31" s="227"/>
      <c r="O31" s="250"/>
      <c r="P31" s="240"/>
      <c r="Q31" s="243"/>
      <c r="R31" s="251"/>
    </row>
    <row r="32" spans="1:18" ht="3" customHeight="1" thickBot="1" x14ac:dyDescent="0.3">
      <c r="A32" s="713"/>
      <c r="B32" s="714"/>
      <c r="C32" s="714"/>
      <c r="D32" s="485"/>
      <c r="E32" s="488"/>
      <c r="F32" s="488"/>
      <c r="G32" s="488"/>
      <c r="H32" s="249"/>
      <c r="N32" s="227"/>
      <c r="O32" s="239"/>
      <c r="P32" s="240"/>
      <c r="Q32" s="243"/>
      <c r="R32" s="254"/>
    </row>
    <row r="33" spans="1:18" ht="15" customHeight="1" x14ac:dyDescent="0.25">
      <c r="A33" s="228" t="s">
        <v>76</v>
      </c>
      <c r="B33" s="705" t="s">
        <v>77</v>
      </c>
      <c r="C33" s="706"/>
      <c r="D33" s="229"/>
      <c r="E33" s="717" t="s">
        <v>78</v>
      </c>
      <c r="F33" s="718"/>
      <c r="G33" s="718"/>
      <c r="H33" s="719"/>
      <c r="N33" s="227"/>
      <c r="O33" s="226"/>
      <c r="P33" s="227"/>
      <c r="Q33" s="243"/>
      <c r="R33" s="227"/>
    </row>
    <row r="34" spans="1:18" ht="15" customHeight="1" x14ac:dyDescent="0.25">
      <c r="A34" s="233" t="s">
        <v>79</v>
      </c>
      <c r="B34" s="234" t="s">
        <v>80</v>
      </c>
      <c r="C34" s="235">
        <v>0</v>
      </c>
      <c r="D34" s="488"/>
      <c r="E34" s="720" t="s">
        <v>81</v>
      </c>
      <c r="F34" s="722" t="s">
        <v>82</v>
      </c>
      <c r="G34" s="722"/>
      <c r="H34" s="724" t="s">
        <v>83</v>
      </c>
      <c r="N34" s="227"/>
      <c r="O34" s="226"/>
      <c r="P34" s="227"/>
      <c r="Q34" s="243"/>
      <c r="R34" s="227"/>
    </row>
    <row r="35" spans="1:18" ht="18" customHeight="1" thickBot="1" x14ac:dyDescent="0.3">
      <c r="A35" s="233" t="s">
        <v>84</v>
      </c>
      <c r="B35" s="234" t="s">
        <v>85</v>
      </c>
      <c r="C35" s="235">
        <v>1.9099999999999999E-2</v>
      </c>
      <c r="D35" s="488"/>
      <c r="E35" s="721"/>
      <c r="F35" s="723"/>
      <c r="G35" s="723"/>
      <c r="H35" s="725"/>
      <c r="N35" s="255"/>
      <c r="O35" s="226"/>
      <c r="P35" s="227"/>
      <c r="Q35" s="227"/>
      <c r="R35" s="227"/>
    </row>
    <row r="36" spans="1:18" ht="3.75" customHeight="1" thickBot="1" x14ac:dyDescent="0.3">
      <c r="A36" s="726" t="s">
        <v>86</v>
      </c>
      <c r="B36" s="728" t="s">
        <v>87</v>
      </c>
      <c r="C36" s="730">
        <v>2.5000000000000001E-2</v>
      </c>
      <c r="D36" s="488"/>
      <c r="E36" s="257"/>
      <c r="F36" s="488"/>
      <c r="G36" s="488"/>
      <c r="H36" s="249"/>
      <c r="N36" s="227"/>
      <c r="O36" s="258"/>
      <c r="P36" s="259"/>
      <c r="Q36" s="227"/>
      <c r="R36" s="227"/>
    </row>
    <row r="37" spans="1:18" ht="13.5" customHeight="1" thickBot="1" x14ac:dyDescent="0.3">
      <c r="A37" s="727"/>
      <c r="B37" s="729"/>
      <c r="C37" s="731"/>
      <c r="D37" s="488"/>
      <c r="E37" s="260">
        <v>0.05</v>
      </c>
      <c r="F37" s="732">
        <v>0.5</v>
      </c>
      <c r="G37" s="733"/>
      <c r="H37" s="261">
        <f>E37*F37</f>
        <v>2.5000000000000001E-2</v>
      </c>
      <c r="N37" s="262"/>
      <c r="O37" s="263"/>
      <c r="P37" s="264"/>
      <c r="Q37" s="265"/>
      <c r="R37" s="265"/>
    </row>
    <row r="38" spans="1:18" ht="15" customHeight="1" thickBot="1" x14ac:dyDescent="0.25">
      <c r="A38" s="486" t="s">
        <v>88</v>
      </c>
      <c r="B38" s="266" t="s">
        <v>96</v>
      </c>
      <c r="C38" s="487">
        <v>0</v>
      </c>
      <c r="D38" s="488"/>
      <c r="E38" s="488"/>
      <c r="F38" s="742"/>
      <c r="G38" s="742"/>
      <c r="H38" s="249"/>
    </row>
    <row r="39" spans="1:18" ht="15" customHeight="1" thickBot="1" x14ac:dyDescent="0.25">
      <c r="A39" s="709" t="s">
        <v>89</v>
      </c>
      <c r="B39" s="710"/>
      <c r="C39" s="244">
        <f>SUM(C34:C38)</f>
        <v>4.41E-2</v>
      </c>
      <c r="D39" s="245"/>
      <c r="E39" s="743" t="s">
        <v>90</v>
      </c>
      <c r="F39" s="744"/>
      <c r="G39" s="744"/>
      <c r="H39" s="745"/>
    </row>
    <row r="40" spans="1:18" ht="6" customHeight="1" x14ac:dyDescent="0.2">
      <c r="A40" s="749"/>
      <c r="B40" s="750"/>
      <c r="C40" s="750"/>
      <c r="D40" s="490"/>
      <c r="E40" s="746"/>
      <c r="F40" s="747"/>
      <c r="G40" s="747"/>
      <c r="H40" s="748"/>
    </row>
    <row r="41" spans="1:18" x14ac:dyDescent="0.2">
      <c r="A41" s="270"/>
      <c r="B41" s="229" t="s">
        <v>91</v>
      </c>
      <c r="C41" s="271"/>
      <c r="D41" s="271"/>
      <c r="E41" s="746"/>
      <c r="F41" s="747"/>
      <c r="G41" s="747"/>
      <c r="H41" s="748"/>
    </row>
    <row r="42" spans="1:18" ht="3.75" customHeight="1" thickBot="1" x14ac:dyDescent="0.25">
      <c r="A42" s="489"/>
      <c r="B42" s="490"/>
      <c r="C42" s="490"/>
      <c r="D42" s="490"/>
      <c r="E42" s="746"/>
      <c r="F42" s="747"/>
      <c r="G42" s="747"/>
      <c r="H42" s="748"/>
    </row>
    <row r="43" spans="1:18" x14ac:dyDescent="0.2">
      <c r="A43" s="751" t="s">
        <v>92</v>
      </c>
      <c r="B43" s="752"/>
      <c r="C43" s="753"/>
      <c r="D43" s="207"/>
      <c r="E43" s="746"/>
      <c r="F43" s="747"/>
      <c r="G43" s="747"/>
      <c r="H43" s="748"/>
    </row>
    <row r="44" spans="1:18" ht="15" thickBot="1" x14ac:dyDescent="0.25">
      <c r="A44" s="754"/>
      <c r="B44" s="755"/>
      <c r="C44" s="756"/>
      <c r="D44" s="207"/>
      <c r="E44" s="482" t="s">
        <v>93</v>
      </c>
      <c r="F44" s="757" t="s">
        <v>62</v>
      </c>
      <c r="G44" s="757"/>
      <c r="H44" s="483" t="s">
        <v>94</v>
      </c>
    </row>
    <row r="45" spans="1:18" ht="3.75" customHeight="1" thickBot="1" x14ac:dyDescent="0.25">
      <c r="A45" s="272"/>
      <c r="B45" s="273"/>
      <c r="C45" s="274"/>
      <c r="D45" s="274"/>
      <c r="E45" s="274"/>
      <c r="F45" s="176"/>
      <c r="G45" s="176"/>
      <c r="H45" s="175"/>
    </row>
    <row r="46" spans="1:18" ht="16.5" thickBot="1" x14ac:dyDescent="0.25">
      <c r="A46" s="734" t="s">
        <v>95</v>
      </c>
      <c r="B46" s="735"/>
      <c r="C46" s="738">
        <f>(((1+C26+C23+C24)*(1+C25)*(1+C31))/(1-C39))-1</f>
        <v>0.15997914833141547</v>
      </c>
      <c r="D46" s="275"/>
      <c r="E46" s="260">
        <v>0.2034</v>
      </c>
      <c r="F46" s="740">
        <v>0.22120000000000001</v>
      </c>
      <c r="G46" s="741"/>
      <c r="H46" s="276">
        <v>0.25</v>
      </c>
    </row>
    <row r="47" spans="1:18" ht="16.5" thickBot="1" x14ac:dyDescent="0.25">
      <c r="A47" s="736"/>
      <c r="B47" s="737"/>
      <c r="C47" s="739"/>
      <c r="D47" s="277"/>
      <c r="E47" s="277"/>
      <c r="F47" s="278"/>
      <c r="G47" s="278"/>
      <c r="H47" s="279"/>
    </row>
    <row r="49" spans="2:4" ht="18" x14ac:dyDescent="0.2">
      <c r="B49" s="280"/>
    </row>
    <row r="51" spans="2:4" ht="18" x14ac:dyDescent="0.25">
      <c r="D51" s="281"/>
    </row>
    <row r="55" spans="2:4" x14ac:dyDescent="0.2">
      <c r="B55" s="282"/>
    </row>
  </sheetData>
  <mergeCells count="59">
    <mergeCell ref="A46:B47"/>
    <mergeCell ref="C46:C47"/>
    <mergeCell ref="F46:G46"/>
    <mergeCell ref="F38:G38"/>
    <mergeCell ref="A39:B39"/>
    <mergeCell ref="E39:H43"/>
    <mergeCell ref="A40:C40"/>
    <mergeCell ref="A43:C44"/>
    <mergeCell ref="F44:G44"/>
    <mergeCell ref="E34:E35"/>
    <mergeCell ref="F34:G35"/>
    <mergeCell ref="H34:H35"/>
    <mergeCell ref="A36:A37"/>
    <mergeCell ref="B36:B37"/>
    <mergeCell ref="C36:C37"/>
    <mergeCell ref="F37:G37"/>
    <mergeCell ref="F30:G30"/>
    <mergeCell ref="A31:B31"/>
    <mergeCell ref="F31:G31"/>
    <mergeCell ref="A32:C32"/>
    <mergeCell ref="B33:C33"/>
    <mergeCell ref="E33:H33"/>
    <mergeCell ref="F26:G26"/>
    <mergeCell ref="A27:B27"/>
    <mergeCell ref="F27:G27"/>
    <mergeCell ref="A28:C28"/>
    <mergeCell ref="B29:C29"/>
    <mergeCell ref="F29:G29"/>
    <mergeCell ref="F25:G25"/>
    <mergeCell ref="A16:H16"/>
    <mergeCell ref="A18:C18"/>
    <mergeCell ref="E18:H19"/>
    <mergeCell ref="A19:A20"/>
    <mergeCell ref="B19:B20"/>
    <mergeCell ref="C19:C20"/>
    <mergeCell ref="F20:G20"/>
    <mergeCell ref="A21:C21"/>
    <mergeCell ref="B22:C22"/>
    <mergeCell ref="F22:G22"/>
    <mergeCell ref="F23:G23"/>
    <mergeCell ref="F24:G24"/>
    <mergeCell ref="A10:E11"/>
    <mergeCell ref="AE10:AE14"/>
    <mergeCell ref="A13:B13"/>
    <mergeCell ref="C13:D13"/>
    <mergeCell ref="M13:O13"/>
    <mergeCell ref="C14:D14"/>
    <mergeCell ref="A7:C7"/>
    <mergeCell ref="D7:E7"/>
    <mergeCell ref="G7:H7"/>
    <mergeCell ref="A8:C8"/>
    <mergeCell ref="D8:E8"/>
    <mergeCell ref="G8:H8"/>
    <mergeCell ref="A1:D1"/>
    <mergeCell ref="A2:D2"/>
    <mergeCell ref="A3:E3"/>
    <mergeCell ref="D5:E5"/>
    <mergeCell ref="A6:C6"/>
    <mergeCell ref="D6:E6"/>
  </mergeCells>
  <conditionalFormatting sqref="L13 U13:V14 Y13:AD14 AF13:AG14 O14 Q10:S12 AK10:AK14 AM10:AX14 T10:T14 AZ10:HH14 O10:O12 I10:I14 E12:H12 B12:C12 A12:A14 A10 E13:E14 B14">
    <cfRule type="cellIs" dxfId="1" priority="1" stopIfTrue="1" operator="equal">
      <formula>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9" orientation="portrait" r:id="rId1"/>
  <headerFooter>
    <oddFooter>&amp;L&amp;A&amp;RPágina &amp;P de &amp;N</oddFooter>
  </headerFooter>
  <colBreaks count="1" manualBreakCount="1">
    <brk id="8" min="9" max="7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Y55"/>
  <sheetViews>
    <sheetView view="pageBreakPreview" topLeftCell="A15" zoomScaleNormal="90" zoomScaleSheetLayoutView="100" workbookViewId="0">
      <selection activeCell="E52" sqref="E52"/>
    </sheetView>
  </sheetViews>
  <sheetFormatPr defaultRowHeight="14.25" x14ac:dyDescent="0.2"/>
  <cols>
    <col min="1" max="1" width="10.28515625" style="89" customWidth="1"/>
    <col min="2" max="2" width="56.7109375" style="89" customWidth="1"/>
    <col min="3" max="3" width="18.7109375" style="89" customWidth="1"/>
    <col min="4" max="4" width="2" style="89" customWidth="1"/>
    <col min="5" max="5" width="14.7109375" style="89" customWidth="1"/>
    <col min="6" max="6" width="1" style="89" customWidth="1"/>
    <col min="7" max="7" width="10.42578125" style="89" customWidth="1"/>
    <col min="8" max="8" width="11.42578125" style="89" customWidth="1"/>
    <col min="9" max="9" width="2.140625" style="89" customWidth="1"/>
    <col min="10" max="13" width="9.140625" style="89"/>
    <col min="14" max="14" width="69.7109375" style="89" customWidth="1"/>
    <col min="15" max="15" width="9.7109375" style="89" bestFit="1" customWidth="1"/>
    <col min="16" max="16" width="13.28515625" style="89" customWidth="1"/>
    <col min="17" max="17" width="14.42578125" style="89" customWidth="1"/>
    <col min="18" max="18" width="23.28515625" style="89" customWidth="1"/>
    <col min="19" max="16384" width="9.140625" style="89"/>
  </cols>
  <sheetData>
    <row r="1" spans="1:51" ht="20.25" x14ac:dyDescent="0.2">
      <c r="A1" s="534" t="s">
        <v>163</v>
      </c>
      <c r="B1" s="535"/>
      <c r="C1" s="535"/>
      <c r="D1" s="535"/>
      <c r="E1" s="322"/>
      <c r="F1" s="322"/>
      <c r="G1" s="322"/>
      <c r="H1" s="322"/>
      <c r="I1" s="322"/>
      <c r="J1" s="322"/>
      <c r="K1" s="322"/>
    </row>
    <row r="2" spans="1:51" x14ac:dyDescent="0.2">
      <c r="A2" s="607" t="s">
        <v>164</v>
      </c>
      <c r="B2" s="608"/>
      <c r="C2" s="608"/>
      <c r="D2" s="608"/>
      <c r="E2" s="323"/>
      <c r="F2" s="323"/>
      <c r="G2" s="323"/>
      <c r="H2" s="323"/>
      <c r="I2" s="323"/>
      <c r="J2" s="323"/>
      <c r="K2" s="323"/>
    </row>
    <row r="3" spans="1:51" ht="18" x14ac:dyDescent="0.25">
      <c r="A3" s="536"/>
      <c r="B3" s="572"/>
      <c r="C3" s="572"/>
      <c r="D3" s="572"/>
      <c r="E3" s="572"/>
      <c r="F3" s="176"/>
      <c r="G3" s="176"/>
      <c r="H3" s="175"/>
    </row>
    <row r="4" spans="1:51" x14ac:dyDescent="0.2">
      <c r="A4" s="88"/>
      <c r="B4" s="176"/>
      <c r="C4" s="176"/>
      <c r="D4" s="176"/>
      <c r="E4" s="176"/>
      <c r="F4" s="176"/>
      <c r="G4" s="176"/>
      <c r="H4" s="175"/>
    </row>
    <row r="5" spans="1:51" ht="15.75" x14ac:dyDescent="0.25">
      <c r="A5" s="87" t="s">
        <v>6</v>
      </c>
      <c r="B5" s="7"/>
      <c r="C5" s="1"/>
      <c r="D5" s="548" t="s">
        <v>8</v>
      </c>
      <c r="E5" s="548"/>
      <c r="F5" s="176"/>
      <c r="G5" s="176"/>
      <c r="H5" s="175"/>
    </row>
    <row r="6" spans="1:51" ht="36" customHeight="1" x14ac:dyDescent="0.25">
      <c r="A6" s="659" t="str">
        <f>'ENCARGOS SOCIAIS'!A6:J6</f>
        <v>serviços de engenharia para conclusão de serviços no edifício do Biotério do Instituto
Multidisciplinar de Saúde</v>
      </c>
      <c r="B6" s="660"/>
      <c r="C6" s="660"/>
      <c r="D6" s="661" t="str">
        <f>SERVIÇOS!D7</f>
        <v>SETEMBRO/2021</v>
      </c>
      <c r="E6" s="662"/>
      <c r="F6" s="176"/>
      <c r="G6" s="176"/>
      <c r="H6" s="175"/>
    </row>
    <row r="7" spans="1:51" ht="15.75" x14ac:dyDescent="0.25">
      <c r="A7" s="550" t="s">
        <v>7</v>
      </c>
      <c r="B7" s="551"/>
      <c r="C7" s="551"/>
      <c r="D7" s="548" t="s">
        <v>9</v>
      </c>
      <c r="E7" s="548"/>
      <c r="F7" s="176"/>
      <c r="G7" s="663" t="s">
        <v>100</v>
      </c>
      <c r="H7" s="664"/>
    </row>
    <row r="8" spans="1:51" ht="16.5" thickBot="1" x14ac:dyDescent="0.3">
      <c r="A8" s="665" t="str">
        <f>SERVIÇOS!A9</f>
        <v>UFBA - CAMPUS VITORIA DA CONQUISTA</v>
      </c>
      <c r="B8" s="666"/>
      <c r="C8" s="666"/>
      <c r="D8" s="667">
        <f>SERVIÇOS!D9</f>
        <v>0</v>
      </c>
      <c r="E8" s="667"/>
      <c r="F8" s="177"/>
      <c r="G8" s="668">
        <f ca="1">NOW()</f>
        <v>44474.611615624999</v>
      </c>
      <c r="H8" s="669"/>
    </row>
    <row r="9" spans="1:51" ht="15.75" thickTop="1" thickBot="1" x14ac:dyDescent="0.25"/>
    <row r="10" spans="1:51" s="188" customFormat="1" ht="14.25" customHeight="1" thickTop="1" x14ac:dyDescent="0.2">
      <c r="A10" s="670" t="s">
        <v>103</v>
      </c>
      <c r="B10" s="671"/>
      <c r="C10" s="671"/>
      <c r="D10" s="671"/>
      <c r="E10" s="672"/>
      <c r="F10" s="178"/>
      <c r="G10" s="179"/>
      <c r="H10" s="180"/>
      <c r="I10" s="181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3"/>
      <c r="U10" s="184"/>
      <c r="V10" s="183"/>
      <c r="W10" s="183"/>
      <c r="X10" s="183"/>
      <c r="Y10" s="183"/>
      <c r="Z10" s="185"/>
      <c r="AA10" s="183"/>
      <c r="AB10" s="183"/>
      <c r="AC10" s="183"/>
      <c r="AD10" s="183"/>
      <c r="AE10" s="676"/>
      <c r="AF10" s="183"/>
      <c r="AG10" s="183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7"/>
    </row>
    <row r="11" spans="1:51" s="188" customFormat="1" ht="14.25" customHeight="1" thickBot="1" x14ac:dyDescent="0.25">
      <c r="A11" s="673"/>
      <c r="B11" s="674"/>
      <c r="C11" s="674"/>
      <c r="D11" s="674"/>
      <c r="E11" s="675"/>
      <c r="F11" s="178"/>
      <c r="G11" s="189"/>
      <c r="H11" s="190"/>
      <c r="I11" s="181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3"/>
      <c r="U11" s="184"/>
      <c r="V11" s="183"/>
      <c r="W11" s="183"/>
      <c r="X11" s="183"/>
      <c r="Y11" s="183"/>
      <c r="Z11" s="185"/>
      <c r="AA11" s="183"/>
      <c r="AB11" s="183"/>
      <c r="AC11" s="183"/>
      <c r="AD11" s="183"/>
      <c r="AE11" s="676"/>
      <c r="AF11" s="183"/>
      <c r="AG11" s="183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7"/>
    </row>
    <row r="12" spans="1:51" s="188" customFormat="1" ht="4.5" customHeight="1" thickBot="1" x14ac:dyDescent="0.25">
      <c r="A12" s="191"/>
      <c r="B12" s="192"/>
      <c r="C12" s="192"/>
      <c r="D12" s="192"/>
      <c r="E12" s="193"/>
      <c r="F12" s="194"/>
      <c r="G12" s="195"/>
      <c r="H12" s="190"/>
      <c r="I12" s="181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3"/>
      <c r="U12" s="184"/>
      <c r="V12" s="183"/>
      <c r="W12" s="183"/>
      <c r="X12" s="183"/>
      <c r="Y12" s="183"/>
      <c r="Z12" s="185"/>
      <c r="AA12" s="183"/>
      <c r="AB12" s="183"/>
      <c r="AC12" s="183"/>
      <c r="AD12" s="183"/>
      <c r="AE12" s="676"/>
      <c r="AF12" s="183"/>
      <c r="AG12" s="183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7"/>
    </row>
    <row r="13" spans="1:51" s="188" customFormat="1" ht="27" customHeight="1" thickBot="1" x14ac:dyDescent="0.25">
      <c r="A13" s="677" t="str">
        <f>SERVIÇOS!A7</f>
        <v>serviços de engenharia para conclusão de serviços no edifício do Biotério do Instituto
Multidisciplinar de Saúde</v>
      </c>
      <c r="B13" s="678"/>
      <c r="C13" s="679" t="s">
        <v>54</v>
      </c>
      <c r="D13" s="680"/>
      <c r="E13" s="196"/>
      <c r="F13" s="197"/>
      <c r="G13" s="198"/>
      <c r="H13" s="199"/>
      <c r="I13" s="181"/>
      <c r="J13" s="182"/>
      <c r="K13" s="182"/>
      <c r="L13" s="200"/>
      <c r="M13" s="681"/>
      <c r="N13" s="681"/>
      <c r="O13" s="681"/>
      <c r="P13" s="182"/>
      <c r="Q13" s="182"/>
      <c r="R13" s="182"/>
      <c r="S13" s="182"/>
      <c r="T13" s="182"/>
      <c r="U13" s="201"/>
      <c r="V13" s="202"/>
      <c r="W13" s="203"/>
      <c r="X13" s="204"/>
      <c r="Y13" s="205"/>
      <c r="Z13" s="206"/>
      <c r="AA13" s="207"/>
      <c r="AB13" s="208"/>
      <c r="AC13" s="208"/>
      <c r="AD13" s="208"/>
      <c r="AE13" s="676"/>
      <c r="AF13" s="207"/>
      <c r="AG13" s="182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7"/>
    </row>
    <row r="14" spans="1:51" s="188" customFormat="1" ht="14.25" customHeight="1" thickBot="1" x14ac:dyDescent="0.25">
      <c r="A14" s="209" t="s">
        <v>55</v>
      </c>
      <c r="B14" s="210"/>
      <c r="C14" s="679" t="s">
        <v>56</v>
      </c>
      <c r="D14" s="680"/>
      <c r="E14" s="211">
        <f ca="1">SERVIÇOS!F7</f>
        <v>44474.611615624999</v>
      </c>
      <c r="F14" s="194"/>
      <c r="G14" s="212"/>
      <c r="H14" s="213"/>
      <c r="I14" s="181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201"/>
      <c r="V14" s="202"/>
      <c r="W14" s="203"/>
      <c r="X14" s="204"/>
      <c r="Y14" s="214"/>
      <c r="Z14" s="215"/>
      <c r="AA14" s="216"/>
      <c r="AB14" s="208"/>
      <c r="AC14" s="208"/>
      <c r="AD14" s="208"/>
      <c r="AE14" s="676"/>
      <c r="AF14" s="216"/>
      <c r="AG14" s="182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7"/>
    </row>
    <row r="15" spans="1:51" ht="3.75" customHeight="1" thickBot="1" x14ac:dyDescent="0.25">
      <c r="A15" s="217"/>
      <c r="B15" s="218"/>
      <c r="C15" s="218"/>
      <c r="D15" s="218"/>
      <c r="E15" s="218"/>
      <c r="F15" s="176"/>
      <c r="G15" s="176"/>
      <c r="H15" s="175"/>
    </row>
    <row r="16" spans="1:51" ht="18" customHeight="1" thickBot="1" x14ac:dyDescent="0.25">
      <c r="A16" s="684" t="s">
        <v>104</v>
      </c>
      <c r="B16" s="685"/>
      <c r="C16" s="685"/>
      <c r="D16" s="685"/>
      <c r="E16" s="685"/>
      <c r="F16" s="685"/>
      <c r="G16" s="685"/>
      <c r="H16" s="686"/>
    </row>
    <row r="17" spans="1:18" ht="3.75" customHeight="1" thickBot="1" x14ac:dyDescent="0.25">
      <c r="A17" s="217"/>
      <c r="B17" s="218"/>
      <c r="C17" s="218"/>
      <c r="D17" s="218"/>
      <c r="E17" s="218"/>
      <c r="F17" s="176"/>
      <c r="G17" s="176"/>
      <c r="H17" s="175"/>
    </row>
    <row r="18" spans="1:18" ht="15.75" thickBot="1" x14ac:dyDescent="0.25">
      <c r="A18" s="684" t="s">
        <v>57</v>
      </c>
      <c r="B18" s="685"/>
      <c r="C18" s="686"/>
      <c r="D18" s="218"/>
      <c r="E18" s="687" t="s">
        <v>58</v>
      </c>
      <c r="F18" s="688"/>
      <c r="G18" s="689"/>
      <c r="H18" s="690"/>
    </row>
    <row r="19" spans="1:18" ht="22.5" customHeight="1" x14ac:dyDescent="0.25">
      <c r="A19" s="695" t="s">
        <v>17</v>
      </c>
      <c r="B19" s="697" t="s">
        <v>59</v>
      </c>
      <c r="C19" s="699" t="s">
        <v>60</v>
      </c>
      <c r="D19" s="219"/>
      <c r="E19" s="691"/>
      <c r="F19" s="692"/>
      <c r="G19" s="693"/>
      <c r="H19" s="694"/>
      <c r="N19" s="220"/>
      <c r="O19" s="221"/>
      <c r="P19" s="222"/>
      <c r="Q19" s="42"/>
      <c r="R19" s="42"/>
    </row>
    <row r="20" spans="1:18" ht="18.75" thickBot="1" x14ac:dyDescent="0.3">
      <c r="A20" s="696"/>
      <c r="B20" s="698"/>
      <c r="C20" s="700"/>
      <c r="D20" s="219"/>
      <c r="E20" s="223" t="s">
        <v>61</v>
      </c>
      <c r="F20" s="701" t="s">
        <v>62</v>
      </c>
      <c r="G20" s="702"/>
      <c r="H20" s="224" t="s">
        <v>63</v>
      </c>
      <c r="N20" s="220"/>
      <c r="O20" s="221"/>
      <c r="P20" s="222"/>
      <c r="Q20" s="42"/>
      <c r="R20" s="42"/>
    </row>
    <row r="21" spans="1:18" ht="3" customHeight="1" thickBot="1" x14ac:dyDescent="0.3">
      <c r="A21" s="703"/>
      <c r="B21" s="704"/>
      <c r="C21" s="704"/>
      <c r="D21" s="225"/>
      <c r="E21" s="225"/>
      <c r="F21" s="176"/>
      <c r="G21" s="176"/>
      <c r="H21" s="175"/>
      <c r="N21" s="220"/>
      <c r="O21" s="226"/>
      <c r="P21" s="227"/>
      <c r="Q21" s="227"/>
      <c r="R21" s="227"/>
    </row>
    <row r="22" spans="1:18" ht="18" x14ac:dyDescent="0.25">
      <c r="A22" s="228" t="s">
        <v>64</v>
      </c>
      <c r="B22" s="705" t="s">
        <v>65</v>
      </c>
      <c r="C22" s="706"/>
      <c r="D22" s="229"/>
      <c r="E22" s="230"/>
      <c r="F22" s="707"/>
      <c r="G22" s="708"/>
      <c r="H22" s="231"/>
      <c r="N22" s="227"/>
      <c r="O22" s="226"/>
      <c r="P22" s="232"/>
      <c r="Q22" s="227"/>
      <c r="R22" s="227"/>
    </row>
    <row r="23" spans="1:18" ht="18" x14ac:dyDescent="0.25">
      <c r="A23" s="233" t="s">
        <v>29</v>
      </c>
      <c r="B23" s="234" t="s">
        <v>66</v>
      </c>
      <c r="C23" s="235">
        <v>0.01</v>
      </c>
      <c r="D23" s="236"/>
      <c r="E23" s="237">
        <v>8.0000000000000002E-3</v>
      </c>
      <c r="F23" s="682">
        <v>8.0000000000000002E-3</v>
      </c>
      <c r="G23" s="683"/>
      <c r="H23" s="238">
        <v>0.01</v>
      </c>
      <c r="N23" s="227"/>
      <c r="O23" s="239"/>
      <c r="P23" s="240"/>
      <c r="Q23" s="241"/>
      <c r="R23" s="242"/>
    </row>
    <row r="24" spans="1:18" ht="18" x14ac:dyDescent="0.25">
      <c r="A24" s="233" t="s">
        <v>31</v>
      </c>
      <c r="B24" s="234" t="s">
        <v>67</v>
      </c>
      <c r="C24" s="235">
        <v>1.0999999999999999E-2</v>
      </c>
      <c r="D24" s="236"/>
      <c r="E24" s="237">
        <v>9.7000000000000003E-3</v>
      </c>
      <c r="F24" s="682">
        <v>1.2699999999999999E-2</v>
      </c>
      <c r="G24" s="683"/>
      <c r="H24" s="238">
        <v>1.2699999999999999E-2</v>
      </c>
      <c r="N24" s="227"/>
      <c r="O24" s="239"/>
      <c r="P24" s="240"/>
      <c r="Q24" s="243"/>
      <c r="R24" s="242"/>
    </row>
    <row r="25" spans="1:18" ht="18" x14ac:dyDescent="0.25">
      <c r="A25" s="233" t="s">
        <v>32</v>
      </c>
      <c r="B25" s="234" t="s">
        <v>68</v>
      </c>
      <c r="C25" s="235">
        <v>0.01</v>
      </c>
      <c r="D25" s="236"/>
      <c r="E25" s="237">
        <v>5.8999999999999999E-3</v>
      </c>
      <c r="F25" s="682">
        <v>1.23E-2</v>
      </c>
      <c r="G25" s="683"/>
      <c r="H25" s="238">
        <v>1.3899999999999999E-2</v>
      </c>
      <c r="N25" s="227"/>
      <c r="O25" s="239"/>
      <c r="P25" s="240"/>
      <c r="Q25" s="243"/>
      <c r="R25" s="242"/>
    </row>
    <row r="26" spans="1:18" ht="18" x14ac:dyDescent="0.25">
      <c r="A26" s="233" t="s">
        <v>33</v>
      </c>
      <c r="B26" s="234" t="s">
        <v>69</v>
      </c>
      <c r="C26" s="235">
        <v>0.05</v>
      </c>
      <c r="D26" s="236"/>
      <c r="E26" s="237">
        <v>0.03</v>
      </c>
      <c r="F26" s="682">
        <v>0.04</v>
      </c>
      <c r="G26" s="683"/>
      <c r="H26" s="238">
        <v>5.5E-2</v>
      </c>
      <c r="N26" s="227"/>
      <c r="O26" s="239"/>
      <c r="P26" s="240"/>
      <c r="Q26" s="243"/>
      <c r="R26" s="242"/>
    </row>
    <row r="27" spans="1:18" ht="18.75" thickBot="1" x14ac:dyDescent="0.3">
      <c r="A27" s="709" t="s">
        <v>70</v>
      </c>
      <c r="B27" s="710"/>
      <c r="C27" s="244">
        <f>SUM(C23:C26)</f>
        <v>8.1000000000000003E-2</v>
      </c>
      <c r="D27" s="245"/>
      <c r="E27" s="246"/>
      <c r="F27" s="711"/>
      <c r="G27" s="712"/>
      <c r="H27" s="247"/>
      <c r="N27" s="227"/>
      <c r="O27" s="239"/>
      <c r="P27" s="240"/>
      <c r="Q27" s="243"/>
      <c r="R27" s="242"/>
    </row>
    <row r="28" spans="1:18" ht="3" customHeight="1" thickBot="1" x14ac:dyDescent="0.3">
      <c r="A28" s="713"/>
      <c r="B28" s="714"/>
      <c r="C28" s="714"/>
      <c r="D28" s="248"/>
      <c r="E28" s="236"/>
      <c r="F28" s="236"/>
      <c r="G28" s="236"/>
      <c r="H28" s="249"/>
      <c r="N28" s="250"/>
      <c r="O28" s="250"/>
      <c r="P28" s="240"/>
      <c r="Q28" s="243"/>
      <c r="R28" s="251"/>
    </row>
    <row r="29" spans="1:18" ht="15" customHeight="1" x14ac:dyDescent="0.25">
      <c r="A29" s="228" t="s">
        <v>71</v>
      </c>
      <c r="B29" s="705" t="s">
        <v>72</v>
      </c>
      <c r="C29" s="706"/>
      <c r="D29" s="229"/>
      <c r="E29" s="252"/>
      <c r="F29" s="715"/>
      <c r="G29" s="716"/>
      <c r="H29" s="253"/>
      <c r="N29" s="250"/>
      <c r="O29" s="250"/>
      <c r="P29" s="240"/>
      <c r="Q29" s="243"/>
      <c r="R29" s="251"/>
    </row>
    <row r="30" spans="1:18" ht="15" customHeight="1" x14ac:dyDescent="0.25">
      <c r="A30" s="233" t="s">
        <v>73</v>
      </c>
      <c r="B30" s="234" t="s">
        <v>74</v>
      </c>
      <c r="C30" s="235">
        <v>0.1046</v>
      </c>
      <c r="D30" s="236"/>
      <c r="E30" s="237">
        <v>6.1600000000000002E-2</v>
      </c>
      <c r="F30" s="682">
        <v>7.3999999999999996E-2</v>
      </c>
      <c r="G30" s="683"/>
      <c r="H30" s="238">
        <v>8.9599999999999999E-2</v>
      </c>
      <c r="N30" s="250"/>
      <c r="O30" s="250"/>
      <c r="P30" s="240"/>
      <c r="Q30" s="243"/>
      <c r="R30" s="251"/>
    </row>
    <row r="31" spans="1:18" ht="15" customHeight="1" thickBot="1" x14ac:dyDescent="0.3">
      <c r="A31" s="709" t="s">
        <v>75</v>
      </c>
      <c r="B31" s="710"/>
      <c r="C31" s="244">
        <f>SUM(C30)</f>
        <v>0.1046</v>
      </c>
      <c r="D31" s="245"/>
      <c r="E31" s="246"/>
      <c r="F31" s="711"/>
      <c r="G31" s="712"/>
      <c r="H31" s="247"/>
      <c r="N31" s="227"/>
      <c r="O31" s="250"/>
      <c r="P31" s="240"/>
      <c r="Q31" s="243"/>
      <c r="R31" s="251"/>
    </row>
    <row r="32" spans="1:18" ht="3" customHeight="1" thickBot="1" x14ac:dyDescent="0.3">
      <c r="A32" s="713"/>
      <c r="B32" s="714"/>
      <c r="C32" s="714"/>
      <c r="D32" s="248"/>
      <c r="E32" s="236"/>
      <c r="F32" s="236"/>
      <c r="G32" s="236"/>
      <c r="H32" s="249"/>
      <c r="N32" s="227"/>
      <c r="O32" s="239"/>
      <c r="P32" s="240"/>
      <c r="Q32" s="243"/>
      <c r="R32" s="254"/>
    </row>
    <row r="33" spans="1:18" ht="15" customHeight="1" x14ac:dyDescent="0.25">
      <c r="A33" s="228" t="s">
        <v>76</v>
      </c>
      <c r="B33" s="705" t="s">
        <v>77</v>
      </c>
      <c r="C33" s="706"/>
      <c r="D33" s="229"/>
      <c r="E33" s="717" t="s">
        <v>78</v>
      </c>
      <c r="F33" s="718"/>
      <c r="G33" s="718"/>
      <c r="H33" s="719"/>
      <c r="N33" s="227"/>
      <c r="O33" s="226"/>
      <c r="P33" s="227"/>
      <c r="Q33" s="243"/>
      <c r="R33" s="227"/>
    </row>
    <row r="34" spans="1:18" ht="15" customHeight="1" x14ac:dyDescent="0.25">
      <c r="A34" s="233" t="s">
        <v>79</v>
      </c>
      <c r="B34" s="234" t="s">
        <v>80</v>
      </c>
      <c r="C34" s="235">
        <v>0</v>
      </c>
      <c r="D34" s="236"/>
      <c r="E34" s="720" t="s">
        <v>81</v>
      </c>
      <c r="F34" s="722" t="s">
        <v>82</v>
      </c>
      <c r="G34" s="722"/>
      <c r="H34" s="724" t="s">
        <v>83</v>
      </c>
      <c r="N34" s="227"/>
      <c r="O34" s="226"/>
      <c r="P34" s="227"/>
      <c r="Q34" s="243"/>
      <c r="R34" s="227"/>
    </row>
    <row r="35" spans="1:18" ht="18" customHeight="1" thickBot="1" x14ac:dyDescent="0.3">
      <c r="A35" s="233" t="s">
        <v>84</v>
      </c>
      <c r="B35" s="234" t="s">
        <v>85</v>
      </c>
      <c r="C35" s="235">
        <v>1.9099999999999999E-2</v>
      </c>
      <c r="D35" s="236"/>
      <c r="E35" s="721"/>
      <c r="F35" s="723"/>
      <c r="G35" s="723"/>
      <c r="H35" s="725"/>
      <c r="N35" s="255"/>
      <c r="O35" s="226"/>
      <c r="P35" s="227"/>
      <c r="Q35" s="227"/>
      <c r="R35" s="227"/>
    </row>
    <row r="36" spans="1:18" ht="3.75" customHeight="1" thickBot="1" x14ac:dyDescent="0.3">
      <c r="A36" s="726" t="s">
        <v>86</v>
      </c>
      <c r="B36" s="728" t="s">
        <v>87</v>
      </c>
      <c r="C36" s="730">
        <v>2.5000000000000001E-2</v>
      </c>
      <c r="D36" s="236"/>
      <c r="E36" s="257"/>
      <c r="F36" s="236"/>
      <c r="G36" s="236"/>
      <c r="H36" s="249"/>
      <c r="N36" s="227"/>
      <c r="O36" s="258"/>
      <c r="P36" s="259"/>
      <c r="Q36" s="227"/>
      <c r="R36" s="227"/>
    </row>
    <row r="37" spans="1:18" ht="13.5" customHeight="1" thickBot="1" x14ac:dyDescent="0.3">
      <c r="A37" s="727"/>
      <c r="B37" s="729"/>
      <c r="C37" s="731"/>
      <c r="D37" s="236"/>
      <c r="E37" s="260">
        <v>0.05</v>
      </c>
      <c r="F37" s="732">
        <v>0.5</v>
      </c>
      <c r="G37" s="733"/>
      <c r="H37" s="261">
        <f>E37*F37</f>
        <v>2.5000000000000001E-2</v>
      </c>
      <c r="N37" s="262"/>
      <c r="O37" s="263"/>
      <c r="P37" s="264"/>
      <c r="Q37" s="265"/>
      <c r="R37" s="265"/>
    </row>
    <row r="38" spans="1:18" ht="15" customHeight="1" thickBot="1" x14ac:dyDescent="0.25">
      <c r="A38" s="256" t="s">
        <v>88</v>
      </c>
      <c r="B38" s="266" t="s">
        <v>96</v>
      </c>
      <c r="C38" s="267">
        <v>0</v>
      </c>
      <c r="D38" s="236"/>
      <c r="E38" s="236"/>
      <c r="F38" s="742"/>
      <c r="G38" s="742"/>
      <c r="H38" s="249"/>
    </row>
    <row r="39" spans="1:18" ht="15" customHeight="1" thickBot="1" x14ac:dyDescent="0.25">
      <c r="A39" s="709" t="s">
        <v>89</v>
      </c>
      <c r="B39" s="710"/>
      <c r="C39" s="244">
        <f>SUM(C34:C38)</f>
        <v>4.41E-2</v>
      </c>
      <c r="D39" s="245"/>
      <c r="E39" s="743" t="s">
        <v>90</v>
      </c>
      <c r="F39" s="744"/>
      <c r="G39" s="744"/>
      <c r="H39" s="745"/>
    </row>
    <row r="40" spans="1:18" ht="6" customHeight="1" x14ac:dyDescent="0.2">
      <c r="A40" s="749"/>
      <c r="B40" s="750"/>
      <c r="C40" s="750"/>
      <c r="D40" s="269"/>
      <c r="E40" s="746"/>
      <c r="F40" s="747"/>
      <c r="G40" s="747"/>
      <c r="H40" s="748"/>
    </row>
    <row r="41" spans="1:18" x14ac:dyDescent="0.2">
      <c r="A41" s="270"/>
      <c r="B41" s="229" t="s">
        <v>91</v>
      </c>
      <c r="C41" s="271"/>
      <c r="D41" s="271"/>
      <c r="E41" s="746"/>
      <c r="F41" s="747"/>
      <c r="G41" s="747"/>
      <c r="H41" s="748"/>
    </row>
    <row r="42" spans="1:18" ht="3.75" customHeight="1" thickBot="1" x14ac:dyDescent="0.25">
      <c r="A42" s="268"/>
      <c r="B42" s="269"/>
      <c r="C42" s="269"/>
      <c r="D42" s="269"/>
      <c r="E42" s="746"/>
      <c r="F42" s="747"/>
      <c r="G42" s="747"/>
      <c r="H42" s="748"/>
    </row>
    <row r="43" spans="1:18" x14ac:dyDescent="0.2">
      <c r="A43" s="751" t="s">
        <v>92</v>
      </c>
      <c r="B43" s="752"/>
      <c r="C43" s="753"/>
      <c r="D43" s="207"/>
      <c r="E43" s="746"/>
      <c r="F43" s="747"/>
      <c r="G43" s="747"/>
      <c r="H43" s="748"/>
    </row>
    <row r="44" spans="1:18" ht="15" thickBot="1" x14ac:dyDescent="0.25">
      <c r="A44" s="754"/>
      <c r="B44" s="755"/>
      <c r="C44" s="756"/>
      <c r="D44" s="207"/>
      <c r="E44" s="223" t="s">
        <v>93</v>
      </c>
      <c r="F44" s="757" t="s">
        <v>62</v>
      </c>
      <c r="G44" s="757"/>
      <c r="H44" s="224" t="s">
        <v>94</v>
      </c>
    </row>
    <row r="45" spans="1:18" ht="3.75" customHeight="1" thickBot="1" x14ac:dyDescent="0.25">
      <c r="A45" s="272"/>
      <c r="B45" s="273"/>
      <c r="C45" s="274"/>
      <c r="D45" s="274"/>
      <c r="E45" s="274"/>
      <c r="F45" s="176"/>
      <c r="G45" s="176"/>
      <c r="H45" s="175"/>
    </row>
    <row r="46" spans="1:18" ht="16.5" thickBot="1" x14ac:dyDescent="0.25">
      <c r="A46" s="734" t="s">
        <v>95</v>
      </c>
      <c r="B46" s="735"/>
      <c r="C46" s="738">
        <f>(((1+C26+C23+C24)*(1+C25)*(1+C31))/(1-C39))-1</f>
        <v>0.24998102939638045</v>
      </c>
      <c r="D46" s="275"/>
      <c r="E46" s="260">
        <v>0.2034</v>
      </c>
      <c r="F46" s="740">
        <v>0.22120000000000001</v>
      </c>
      <c r="G46" s="741"/>
      <c r="H46" s="276">
        <v>0.25</v>
      </c>
    </row>
    <row r="47" spans="1:18" ht="16.5" thickBot="1" x14ac:dyDescent="0.25">
      <c r="A47" s="736"/>
      <c r="B47" s="737"/>
      <c r="C47" s="739"/>
      <c r="D47" s="277"/>
      <c r="E47" s="277"/>
      <c r="F47" s="278"/>
      <c r="G47" s="278"/>
      <c r="H47" s="279"/>
    </row>
    <row r="49" spans="2:4" ht="18" x14ac:dyDescent="0.2">
      <c r="B49" s="280"/>
    </row>
    <row r="51" spans="2:4" ht="18" x14ac:dyDescent="0.25">
      <c r="D51" s="281"/>
    </row>
    <row r="55" spans="2:4" x14ac:dyDescent="0.2">
      <c r="B55" s="282"/>
    </row>
  </sheetData>
  <mergeCells count="59">
    <mergeCell ref="A16:H16"/>
    <mergeCell ref="A7:C7"/>
    <mergeCell ref="D7:E7"/>
    <mergeCell ref="G7:H7"/>
    <mergeCell ref="A8:C8"/>
    <mergeCell ref="D8:E8"/>
    <mergeCell ref="G8:H8"/>
    <mergeCell ref="A10:E11"/>
    <mergeCell ref="A3:E3"/>
    <mergeCell ref="D5:E5"/>
    <mergeCell ref="A6:C6"/>
    <mergeCell ref="D6:E6"/>
    <mergeCell ref="A1:D1"/>
    <mergeCell ref="A2:D2"/>
    <mergeCell ref="AE10:AE14"/>
    <mergeCell ref="A13:B13"/>
    <mergeCell ref="C13:D13"/>
    <mergeCell ref="M13:O13"/>
    <mergeCell ref="C14:D14"/>
    <mergeCell ref="A18:C18"/>
    <mergeCell ref="E18:H19"/>
    <mergeCell ref="A19:A20"/>
    <mergeCell ref="B19:B20"/>
    <mergeCell ref="C19:C20"/>
    <mergeCell ref="F20:G20"/>
    <mergeCell ref="A21:C21"/>
    <mergeCell ref="B22:C22"/>
    <mergeCell ref="F22:G22"/>
    <mergeCell ref="F23:G23"/>
    <mergeCell ref="F24:G24"/>
    <mergeCell ref="F25:G25"/>
    <mergeCell ref="F26:G26"/>
    <mergeCell ref="A27:B27"/>
    <mergeCell ref="F27:G27"/>
    <mergeCell ref="A28:C28"/>
    <mergeCell ref="B29:C29"/>
    <mergeCell ref="F29:G29"/>
    <mergeCell ref="F30:G30"/>
    <mergeCell ref="A31:B31"/>
    <mergeCell ref="F31:G31"/>
    <mergeCell ref="A32:C32"/>
    <mergeCell ref="B33:C33"/>
    <mergeCell ref="E33:H33"/>
    <mergeCell ref="E34:E35"/>
    <mergeCell ref="F34:G35"/>
    <mergeCell ref="H34:H35"/>
    <mergeCell ref="A36:A37"/>
    <mergeCell ref="B36:B37"/>
    <mergeCell ref="C36:C37"/>
    <mergeCell ref="F37:G37"/>
    <mergeCell ref="A46:B47"/>
    <mergeCell ref="C46:C47"/>
    <mergeCell ref="F46:G46"/>
    <mergeCell ref="F38:G38"/>
    <mergeCell ref="A39:B39"/>
    <mergeCell ref="E39:H43"/>
    <mergeCell ref="A40:C40"/>
    <mergeCell ref="A43:C44"/>
    <mergeCell ref="F44:G44"/>
  </mergeCells>
  <conditionalFormatting sqref="L13 U13:V14 Y13:AD14 AF13:AG14 O14 Q10:S12 AK10:AK14 AM10:AX14 T10:T14 AZ10:HH14 O10:O12 I10:I14 E12:H12 B12:C12 A12:A14 A10 E13:E14 B14">
    <cfRule type="cellIs" dxfId="0" priority="1" stopIfTrue="1" operator="equal">
      <formula>0</formula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69" orientation="portrait" r:id="rId1"/>
  <headerFooter>
    <oddFooter>&amp;L&amp;A&amp;RPágina &amp;P de &amp;N</oddFooter>
  </headerFooter>
  <colBreaks count="1" manualBreakCount="1">
    <brk id="8" min="9" max="7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SERVIÇOS</vt:lpstr>
      <vt:lpstr>COMPOSIÇÕES</vt:lpstr>
      <vt:lpstr>CRONOGRAMA</vt:lpstr>
      <vt:lpstr>ENCARGOS SOCIAIS</vt:lpstr>
      <vt:lpstr>BDI EQUIPAMENTOS</vt:lpstr>
      <vt:lpstr>BDI OBRAS</vt:lpstr>
      <vt:lpstr>'BDI EQUIPAMENTOS'!Area_de_impressao</vt:lpstr>
      <vt:lpstr>'BDI OBRAS'!Area_de_impressao</vt:lpstr>
      <vt:lpstr>COMPOSIÇÕES!Area_de_impressao</vt:lpstr>
      <vt:lpstr>CRONOGRAMA!Area_de_impressao</vt:lpstr>
      <vt:lpstr>'ENCARGOS SOCIAIS'!Area_de_impressao</vt:lpstr>
      <vt:lpstr>SERVIÇOS!Area_de_impressao</vt:lpstr>
      <vt:lpstr>COMPOSIÇÕES!Titulos_de_impressao</vt:lpstr>
      <vt:lpstr>SERVIÇOS!Titulos_de_impressao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Inácio Antonio Alves dos Santos</dc:creator>
  <cp:lastModifiedBy>JUNIOR</cp:lastModifiedBy>
  <cp:lastPrinted>2021-02-23T00:56:43Z</cp:lastPrinted>
  <dcterms:created xsi:type="dcterms:W3CDTF">2008-04-08T18:49:41Z</dcterms:created>
  <dcterms:modified xsi:type="dcterms:W3CDTF">2021-10-05T17:42:31Z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