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chao\Desktop\Home Office\2020\12-Dezembro\ICS- Recuperação de Ambientes\Estimativa e projeto enviados para Paulo e Rosana\02 02 21\"/>
    </mc:Choice>
  </mc:AlternateContent>
  <xr:revisionPtr revIDLastSave="0" documentId="13_ncr:1_{1F8EE3F7-17C1-4167-8C17-B378DD31170E}" xr6:coauthVersionLast="46" xr6:coauthVersionMax="46" xr10:uidLastSave="{00000000-0000-0000-0000-000000000000}"/>
  <bookViews>
    <workbookView xWindow="-120" yWindow="-120" windowWidth="20730" windowHeight="11160" tabRatio="865" xr2:uid="{00000000-000D-0000-FFFF-FFFF00000000}"/>
  </bookViews>
  <sheets>
    <sheet name="SERVIÇOS" sheetId="42" r:id="rId1"/>
    <sheet name="COMPOSIÇÕES" sheetId="61" r:id="rId2"/>
    <sheet name="CRONOGRAMA" sheetId="57" r:id="rId3"/>
    <sheet name="ENCARGOS SOCIAIS" sheetId="59" r:id="rId4"/>
    <sheet name="BDI OBRAS" sheetId="55" r:id="rId5"/>
  </sheets>
  <definedNames>
    <definedName name="_xlnm._FilterDatabase" localSheetId="2" hidden="1">CRONOGRAMA!$C$103:$C$117</definedName>
    <definedName name="_xlnm.Print_Area" localSheetId="4">'BDI OBRAS'!$A$1:$H$48</definedName>
    <definedName name="_xlnm.Print_Area" localSheetId="2">CRONOGRAMA!$A$1:$L$141</definedName>
    <definedName name="_xlnm.Print_Area" localSheetId="3">'ENCARGOS SOCIAIS'!$A$1:$M$53</definedName>
    <definedName name="_xlnm.Print_Area" localSheetId="0">SERVIÇOS!$A$1:$H$245</definedName>
    <definedName name="_xlnm.Print_Titles" localSheetId="1">COMPOSIÇÕES!$1:$11</definedName>
    <definedName name="_xlnm.Print_Titles" localSheetId="0">SERVIÇOS!$1:$9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0" i="42" l="1"/>
  <c r="E163" i="42" l="1"/>
  <c r="G168" i="42" l="1"/>
  <c r="F163" i="42"/>
  <c r="G163" i="42"/>
  <c r="E164" i="42"/>
  <c r="G164" i="42"/>
  <c r="G62" i="61"/>
  <c r="H62" i="61" s="1"/>
  <c r="H63" i="61"/>
  <c r="H56" i="61"/>
  <c r="H55" i="61"/>
  <c r="H49" i="61"/>
  <c r="A113" i="61"/>
  <c r="F15" i="42"/>
  <c r="E155" i="42"/>
  <c r="E154" i="42"/>
  <c r="J7" i="42"/>
  <c r="K7" i="42"/>
  <c r="G20" i="42"/>
  <c r="A91" i="61"/>
  <c r="A75" i="61"/>
  <c r="A85" i="61"/>
  <c r="A101" i="61"/>
  <c r="A53" i="61"/>
  <c r="A46" i="61"/>
  <c r="A37" i="61"/>
  <c r="A68" i="61"/>
  <c r="A61" i="61"/>
  <c r="A30" i="61"/>
  <c r="A24" i="61"/>
  <c r="E146" i="42"/>
  <c r="G146" i="42" s="1"/>
  <c r="E118" i="42"/>
  <c r="E117" i="42"/>
  <c r="E75" i="42"/>
  <c r="E111" i="42"/>
  <c r="G113" i="42"/>
  <c r="E60" i="42"/>
  <c r="E59" i="42"/>
  <c r="E77" i="42"/>
  <c r="G77" i="42" s="1"/>
  <c r="E89" i="42"/>
  <c r="E87" i="42"/>
  <c r="E47" i="42"/>
  <c r="E63" i="42"/>
  <c r="E166" i="42" l="1"/>
  <c r="I8" i="42"/>
  <c r="D7" i="42" s="1"/>
  <c r="G77" i="61"/>
  <c r="E38" i="42"/>
  <c r="G38" i="42" s="1"/>
  <c r="E45" i="42"/>
  <c r="G45" i="42" s="1"/>
  <c r="E27" i="42"/>
  <c r="L7" i="57"/>
  <c r="L105" i="57" s="1"/>
  <c r="O13" i="57"/>
  <c r="N18" i="57"/>
  <c r="N17" i="57"/>
  <c r="N16" i="57"/>
  <c r="N15" i="57"/>
  <c r="N14" i="57"/>
  <c r="N13" i="57"/>
  <c r="N12" i="57"/>
  <c r="N11" i="57"/>
  <c r="A18" i="57"/>
  <c r="A17" i="57"/>
  <c r="A16" i="57"/>
  <c r="A15" i="57"/>
  <c r="A14" i="57"/>
  <c r="A13" i="57"/>
  <c r="B18" i="57"/>
  <c r="B17" i="57"/>
  <c r="B16" i="57"/>
  <c r="B15" i="57"/>
  <c r="B14" i="57"/>
  <c r="B13" i="57"/>
  <c r="G206" i="42"/>
  <c r="G198" i="42"/>
  <c r="G190" i="42"/>
  <c r="G182" i="42"/>
  <c r="E237" i="42"/>
  <c r="E12" i="42"/>
  <c r="E13" i="42" s="1"/>
  <c r="E235" i="42"/>
  <c r="G111" i="42"/>
  <c r="E116" i="42"/>
  <c r="G120" i="42"/>
  <c r="G86" i="61"/>
  <c r="H86" i="61" s="1"/>
  <c r="H87" i="61" s="1"/>
  <c r="F104" i="42" s="1"/>
  <c r="G104" i="42" s="1"/>
  <c r="E103" i="42"/>
  <c r="G93" i="42"/>
  <c r="G78" i="42"/>
  <c r="G144" i="42"/>
  <c r="G75" i="42"/>
  <c r="E71" i="42"/>
  <c r="E72" i="42"/>
  <c r="E73" i="42"/>
  <c r="E74" i="42"/>
  <c r="E86" i="42"/>
  <c r="G63" i="42"/>
  <c r="E61" i="42"/>
  <c r="E58" i="42"/>
  <c r="G58" i="42" s="1"/>
  <c r="G166" i="42" l="1"/>
  <c r="E167" i="42"/>
  <c r="G167" i="42" s="1"/>
  <c r="L60" i="57"/>
  <c r="G55" i="61"/>
  <c r="G54" i="61"/>
  <c r="H54" i="61" s="1"/>
  <c r="H48" i="61"/>
  <c r="H47" i="61"/>
  <c r="G27" i="42"/>
  <c r="H57" i="61" l="1"/>
  <c r="F52" i="42" s="1"/>
  <c r="G52" i="42" s="1"/>
  <c r="F158" i="42"/>
  <c r="G158" i="42" s="1"/>
  <c r="E130" i="42"/>
  <c r="G130" i="42" s="1"/>
  <c r="G102" i="61"/>
  <c r="H102" i="61" s="1"/>
  <c r="H103" i="61" s="1"/>
  <c r="F134" i="42" s="1"/>
  <c r="G134" i="42" s="1"/>
  <c r="G108" i="61"/>
  <c r="H108" i="61" s="1"/>
  <c r="H109" i="61" s="1"/>
  <c r="F159" i="42" s="1"/>
  <c r="G159" i="42" s="1"/>
  <c r="A107" i="61"/>
  <c r="G63" i="61"/>
  <c r="E128" i="42"/>
  <c r="E153" i="42"/>
  <c r="E148" i="42"/>
  <c r="H41" i="61"/>
  <c r="H40" i="61"/>
  <c r="H39" i="61"/>
  <c r="H38" i="61"/>
  <c r="G70" i="61"/>
  <c r="H70" i="61" s="1"/>
  <c r="G69" i="61"/>
  <c r="H69" i="61" s="1"/>
  <c r="F92" i="42" l="1"/>
  <c r="G92" i="42" s="1"/>
  <c r="F51" i="42"/>
  <c r="G51" i="42" s="1"/>
  <c r="H64" i="61"/>
  <c r="H71" i="61"/>
  <c r="H42" i="61"/>
  <c r="F91" i="42" s="1"/>
  <c r="G91" i="42" s="1"/>
  <c r="G142" i="42"/>
  <c r="E126" i="42"/>
  <c r="G126" i="42" s="1"/>
  <c r="G127" i="42"/>
  <c r="E99" i="42"/>
  <c r="G99" i="42" s="1"/>
  <c r="G36" i="42"/>
  <c r="F129" i="42" l="1"/>
  <c r="G129" i="42" s="1"/>
  <c r="F62" i="42"/>
  <c r="G62" i="42" s="1"/>
  <c r="F128" i="42"/>
  <c r="G128" i="42" s="1"/>
  <c r="F61" i="42"/>
  <c r="G61" i="42" s="1"/>
  <c r="F103" i="42"/>
  <c r="G103" i="42" s="1"/>
  <c r="F157" i="42"/>
  <c r="G157" i="42" s="1"/>
  <c r="F50" i="42"/>
  <c r="G50" i="42" s="1"/>
  <c r="E46" i="42"/>
  <c r="E42" i="42"/>
  <c r="E234" i="42"/>
  <c r="G96" i="61" l="1"/>
  <c r="H96" i="61" s="1"/>
  <c r="G95" i="61"/>
  <c r="H95" i="61" s="1"/>
  <c r="H94" i="61"/>
  <c r="H93" i="61"/>
  <c r="H92" i="61"/>
  <c r="H97" i="61" l="1"/>
  <c r="G60" i="42"/>
  <c r="G81" i="42"/>
  <c r="C81" i="42"/>
  <c r="E143" i="42"/>
  <c r="E110" i="42"/>
  <c r="F114" i="42" l="1"/>
  <c r="G155" i="42"/>
  <c r="G118" i="42"/>
  <c r="G89" i="42"/>
  <c r="G80" i="61"/>
  <c r="G79" i="61"/>
  <c r="H79" i="61" s="1"/>
  <c r="G25" i="61"/>
  <c r="H25" i="61" s="1"/>
  <c r="H26" i="61" s="1"/>
  <c r="E26" i="42"/>
  <c r="F64" i="42" l="1"/>
  <c r="F100" i="42"/>
  <c r="F131" i="42"/>
  <c r="F28" i="42"/>
  <c r="F236" i="42"/>
  <c r="E124" i="42"/>
  <c r="G124" i="42" s="1"/>
  <c r="E97" i="42"/>
  <c r="G97" i="42" s="1"/>
  <c r="E56" i="42"/>
  <c r="G56" i="42" s="1"/>
  <c r="E24" i="42"/>
  <c r="E125" i="42"/>
  <c r="G125" i="42" s="1"/>
  <c r="E98" i="42"/>
  <c r="G98" i="42" s="1"/>
  <c r="E57" i="42"/>
  <c r="G57" i="42" s="1"/>
  <c r="E25" i="42"/>
  <c r="G25" i="42" s="1"/>
  <c r="G26" i="42"/>
  <c r="G114" i="61"/>
  <c r="C126" i="42"/>
  <c r="C99" i="42"/>
  <c r="C58" i="42"/>
  <c r="C26" i="42"/>
  <c r="G24" i="42" l="1"/>
  <c r="E28" i="42"/>
  <c r="G231" i="42"/>
  <c r="G226" i="42"/>
  <c r="G221" i="42"/>
  <c r="G216" i="42"/>
  <c r="E228" i="42"/>
  <c r="E229" i="42" s="1"/>
  <c r="G229" i="42" s="1"/>
  <c r="E223" i="42"/>
  <c r="E224" i="42" s="1"/>
  <c r="G224" i="42" s="1"/>
  <c r="E218" i="42"/>
  <c r="E219" i="42" s="1"/>
  <c r="G219" i="42" s="1"/>
  <c r="E213" i="42"/>
  <c r="E214" i="42" s="1"/>
  <c r="G214" i="42" s="1"/>
  <c r="E19" i="42"/>
  <c r="G228" i="42" l="1"/>
  <c r="G213" i="42"/>
  <c r="G223" i="42"/>
  <c r="G218" i="42"/>
  <c r="E83" i="42" l="1"/>
  <c r="E150" i="42"/>
  <c r="E131" i="42"/>
  <c r="E132" i="42" s="1"/>
  <c r="E133" i="42" s="1"/>
  <c r="E100" i="42"/>
  <c r="E101" i="42" s="1"/>
  <c r="E102" i="42" s="1"/>
  <c r="E64" i="42"/>
  <c r="E44" i="42" l="1"/>
  <c r="E43" i="42"/>
  <c r="G43" i="42" s="1"/>
  <c r="E85" i="42"/>
  <c r="E84" i="42"/>
  <c r="G84" i="42" s="1"/>
  <c r="E152" i="42"/>
  <c r="E151" i="42"/>
  <c r="G151" i="42" s="1"/>
  <c r="E29" i="42"/>
  <c r="E30" i="42" s="1"/>
  <c r="G30" i="42" s="1"/>
  <c r="E233" i="42"/>
  <c r="E238" i="42"/>
  <c r="G238" i="42" s="1"/>
  <c r="E201" i="42"/>
  <c r="E193" i="42"/>
  <c r="E185" i="42"/>
  <c r="E177" i="42"/>
  <c r="E202" i="42"/>
  <c r="G202" i="42" s="1"/>
  <c r="E194" i="42"/>
  <c r="G194" i="42" s="1"/>
  <c r="E186" i="42"/>
  <c r="G186" i="42" s="1"/>
  <c r="E178" i="42"/>
  <c r="G178" i="42" s="1"/>
  <c r="E171" i="42"/>
  <c r="G171" i="42" s="1"/>
  <c r="G133" i="42" l="1"/>
  <c r="G102" i="42"/>
  <c r="E180" i="42"/>
  <c r="E188" i="42"/>
  <c r="E196" i="42"/>
  <c r="E173" i="42"/>
  <c r="E204" i="42"/>
  <c r="B12" i="57"/>
  <c r="A12" i="57"/>
  <c r="B11" i="57"/>
  <c r="A11" i="57"/>
  <c r="G235" i="42"/>
  <c r="G234" i="42"/>
  <c r="G233" i="42"/>
  <c r="G40" i="42"/>
  <c r="G143" i="42"/>
  <c r="G141" i="42"/>
  <c r="G140" i="42"/>
  <c r="G139" i="42"/>
  <c r="G138" i="42"/>
  <c r="G137" i="42"/>
  <c r="G136" i="42"/>
  <c r="G110" i="42"/>
  <c r="G109" i="42"/>
  <c r="G108" i="42"/>
  <c r="G107" i="42"/>
  <c r="G106" i="42"/>
  <c r="G114" i="42"/>
  <c r="G74" i="42"/>
  <c r="G73" i="42"/>
  <c r="G72" i="42"/>
  <c r="G71" i="42"/>
  <c r="G70" i="42"/>
  <c r="G69" i="42"/>
  <c r="G68" i="42"/>
  <c r="G35" i="42"/>
  <c r="G34" i="42"/>
  <c r="G33" i="42"/>
  <c r="G32" i="42"/>
  <c r="G154" i="42"/>
  <c r="G153" i="42"/>
  <c r="G152" i="42"/>
  <c r="G150" i="42"/>
  <c r="G117" i="42"/>
  <c r="G116" i="42"/>
  <c r="G88" i="42"/>
  <c r="G87" i="42"/>
  <c r="G86" i="42"/>
  <c r="G85" i="42"/>
  <c r="G83" i="42"/>
  <c r="G48" i="42"/>
  <c r="G47" i="42"/>
  <c r="G46" i="42"/>
  <c r="G44" i="42"/>
  <c r="G42" i="42"/>
  <c r="G123" i="42"/>
  <c r="G96" i="42"/>
  <c r="G59" i="42"/>
  <c r="G55" i="42"/>
  <c r="G23" i="42"/>
  <c r="G19" i="42"/>
  <c r="G13" i="42"/>
  <c r="G12" i="42"/>
  <c r="G11" i="42"/>
  <c r="E205" i="42" l="1"/>
  <c r="G205" i="42" s="1"/>
  <c r="G204" i="42"/>
  <c r="E181" i="42"/>
  <c r="G181" i="42" s="1"/>
  <c r="G180" i="42"/>
  <c r="E197" i="42"/>
  <c r="G197" i="42" s="1"/>
  <c r="G196" i="42"/>
  <c r="E189" i="42"/>
  <c r="G189" i="42" s="1"/>
  <c r="G188" i="42"/>
  <c r="E174" i="42"/>
  <c r="G174" i="42" s="1"/>
  <c r="G173" i="42"/>
  <c r="G148" i="42"/>
  <c r="G230" i="42"/>
  <c r="G225" i="42"/>
  <c r="G220" i="42"/>
  <c r="G215" i="42"/>
  <c r="G211" i="42"/>
  <c r="E209" i="42"/>
  <c r="E239" i="42" l="1"/>
  <c r="G239" i="42" s="1"/>
  <c r="G209" i="42"/>
  <c r="E210" i="42"/>
  <c r="G210" i="42" s="1"/>
  <c r="G10" i="42"/>
  <c r="C11" i="57" s="1"/>
  <c r="G207" i="42" l="1"/>
  <c r="C17" i="57" s="1"/>
  <c r="G31" i="61"/>
  <c r="H31" i="61" s="1"/>
  <c r="H32" i="61"/>
  <c r="H33" i="61" l="1"/>
  <c r="F65" i="42" l="1"/>
  <c r="F29" i="42"/>
  <c r="G29" i="42" s="1"/>
  <c r="F101" i="42"/>
  <c r="G101" i="42" s="1"/>
  <c r="F237" i="42"/>
  <c r="G237" i="42" s="1"/>
  <c r="F132" i="42"/>
  <c r="G132" i="42" s="1"/>
  <c r="E18" i="42"/>
  <c r="E17" i="42"/>
  <c r="G236" i="42" l="1"/>
  <c r="G15" i="42"/>
  <c r="E7" i="57"/>
  <c r="E105" i="57" s="1"/>
  <c r="H114" i="61"/>
  <c r="G16" i="42"/>
  <c r="E8" i="61"/>
  <c r="H77" i="61"/>
  <c r="H76" i="61"/>
  <c r="H80" i="61"/>
  <c r="H78" i="61"/>
  <c r="G18" i="42"/>
  <c r="G17" i="42"/>
  <c r="B23" i="57"/>
  <c r="A23" i="57"/>
  <c r="A8" i="61"/>
  <c r="A6" i="61"/>
  <c r="G8" i="61"/>
  <c r="K8" i="59"/>
  <c r="A6" i="59"/>
  <c r="A6" i="55" s="1"/>
  <c r="A8" i="59"/>
  <c r="M8" i="59"/>
  <c r="J25" i="59"/>
  <c r="K25" i="59"/>
  <c r="L25" i="59"/>
  <c r="M25" i="59"/>
  <c r="J37" i="59"/>
  <c r="K37" i="59"/>
  <c r="L37" i="59"/>
  <c r="M37" i="59"/>
  <c r="J44" i="59"/>
  <c r="K44" i="59"/>
  <c r="K50" i="59" s="1"/>
  <c r="L44" i="59"/>
  <c r="M44" i="59"/>
  <c r="J48" i="59"/>
  <c r="K48" i="59"/>
  <c r="L48" i="59"/>
  <c r="M48" i="59"/>
  <c r="D6" i="55"/>
  <c r="A8" i="55"/>
  <c r="G8" i="55"/>
  <c r="F5" i="42"/>
  <c r="E14" i="55" s="1"/>
  <c r="A3" i="57"/>
  <c r="A56" i="57" s="1"/>
  <c r="A101" i="57" s="1"/>
  <c r="E5" i="57"/>
  <c r="E58" i="57" s="1"/>
  <c r="E103" i="57" s="1"/>
  <c r="A7" i="57"/>
  <c r="A60" i="57" s="1"/>
  <c r="A105" i="57" s="1"/>
  <c r="A5" i="57"/>
  <c r="A58" i="57" s="1"/>
  <c r="A103" i="57" s="1"/>
  <c r="O12" i="57"/>
  <c r="A13" i="55"/>
  <c r="H37" i="55"/>
  <c r="C36" i="55" s="1"/>
  <c r="C39" i="55" s="1"/>
  <c r="C31" i="55"/>
  <c r="C46" i="55" s="1"/>
  <c r="C27" i="55"/>
  <c r="N8" i="57"/>
  <c r="J50" i="59"/>
  <c r="D8" i="55"/>
  <c r="M50" i="59"/>
  <c r="L50" i="59"/>
  <c r="G14" i="42" l="1"/>
  <c r="E60" i="57"/>
  <c r="G131" i="42"/>
  <c r="G100" i="42"/>
  <c r="G28" i="42"/>
  <c r="G21" i="42" s="1"/>
  <c r="G232" i="42"/>
  <c r="C18" i="57" s="1"/>
  <c r="H115" i="61"/>
  <c r="H81" i="61"/>
  <c r="E17" i="57"/>
  <c r="F17" i="57" s="1"/>
  <c r="G121" i="42" l="1"/>
  <c r="C15" i="57" s="1"/>
  <c r="G94" i="42"/>
  <c r="C14" i="57" s="1"/>
  <c r="C12" i="57"/>
  <c r="H17" i="57"/>
  <c r="J17" i="57"/>
  <c r="F80" i="42"/>
  <c r="G80" i="42" s="1"/>
  <c r="F177" i="42"/>
  <c r="G177" i="42" s="1"/>
  <c r="F201" i="42"/>
  <c r="G201" i="42" s="1"/>
  <c r="F193" i="42"/>
  <c r="G193" i="42" s="1"/>
  <c r="F185" i="42"/>
  <c r="G185" i="42" s="1"/>
  <c r="L17" i="57"/>
  <c r="E18" i="57"/>
  <c r="F18" i="57" s="1"/>
  <c r="J18" i="57" s="1"/>
  <c r="C23" i="57"/>
  <c r="C16" i="57" l="1"/>
  <c r="E16" i="57" s="1"/>
  <c r="F16" i="57" s="1"/>
  <c r="J16" i="57" s="1"/>
  <c r="E15" i="57"/>
  <c r="F15" i="57" s="1"/>
  <c r="J15" i="57" s="1"/>
  <c r="C25" i="57"/>
  <c r="E23" i="57"/>
  <c r="E12" i="57"/>
  <c r="L18" i="57"/>
  <c r="H18" i="57"/>
  <c r="L15" i="57" l="1"/>
  <c r="H15" i="57"/>
  <c r="F23" i="57"/>
  <c r="E25" i="57"/>
  <c r="H16" i="57"/>
  <c r="L16" i="57"/>
  <c r="F12" i="57"/>
  <c r="J12" i="57" s="1"/>
  <c r="L12" i="57" l="1"/>
  <c r="H12" i="57"/>
  <c r="F25" i="57"/>
  <c r="E14" i="57"/>
  <c r="F14" i="57" l="1"/>
  <c r="J14" i="57" s="1"/>
  <c r="H14" i="57" l="1"/>
  <c r="L14" i="57"/>
  <c r="G64" i="42"/>
  <c r="E65" i="42"/>
  <c r="E66" i="42" s="1"/>
  <c r="G66" i="42" s="1"/>
  <c r="G65" i="42" l="1"/>
  <c r="G53" i="42" s="1"/>
  <c r="G240" i="42" s="1"/>
  <c r="C13" i="57" l="1"/>
  <c r="E13" i="57" s="1"/>
  <c r="F13" i="57" s="1"/>
  <c r="E11" i="57"/>
  <c r="J13" i="57" l="1"/>
  <c r="L13" i="57"/>
  <c r="H13" i="57"/>
  <c r="C19" i="57"/>
  <c r="C27" i="57" s="1"/>
  <c r="F11" i="57"/>
  <c r="J11" i="57" s="1"/>
  <c r="E19" i="57"/>
  <c r="E27" i="57" s="1"/>
  <c r="J19" i="57" l="1"/>
  <c r="L11" i="57"/>
  <c r="L19" i="57" s="1"/>
  <c r="H11" i="57"/>
  <c r="H19" i="57" s="1"/>
  <c r="F19" i="57"/>
  <c r="F27" i="57" s="1"/>
  <c r="I19" i="57" l="1"/>
  <c r="I23" i="57" s="1"/>
  <c r="K19" i="57"/>
  <c r="K23" i="57" s="1"/>
  <c r="G19" i="57"/>
  <c r="J23" i="57" l="1"/>
  <c r="J25" i="57" s="1"/>
  <c r="G23" i="57"/>
  <c r="N19" i="57"/>
  <c r="L23" i="57"/>
  <c r="L25" i="57" s="1"/>
  <c r="L27" i="57" l="1"/>
  <c r="K25" i="57"/>
  <c r="J27" i="57"/>
  <c r="I27" i="57" s="1"/>
  <c r="I25" i="57"/>
  <c r="N23" i="57"/>
  <c r="H23" i="57"/>
  <c r="H25" i="57" s="1"/>
  <c r="K27" i="57" l="1"/>
  <c r="P13" i="57"/>
  <c r="H27" i="57"/>
  <c r="H28" i="57" s="1"/>
  <c r="J28" i="57" s="1"/>
  <c r="L28" i="57" s="1"/>
  <c r="G25" i="57"/>
  <c r="P12" i="57"/>
  <c r="P11" i="57" l="1"/>
  <c r="G27" i="57"/>
  <c r="G28" i="57" s="1"/>
  <c r="I28" i="57" s="1"/>
  <c r="K28" i="57" s="1"/>
  <c r="Q13" i="57" s="1"/>
  <c r="J241" i="42"/>
  <c r="Q12" i="57" l="1"/>
  <c r="Q11" i="57"/>
  <c r="G241" i="42"/>
  <c r="G242" i="42" s="1"/>
  <c r="J242" i="42"/>
  <c r="H163" i="42" l="1"/>
  <c r="H168" i="42"/>
  <c r="H161" i="42"/>
  <c r="H165" i="42"/>
  <c r="H162" i="42"/>
  <c r="H164" i="42"/>
  <c r="H167" i="42"/>
  <c r="H166" i="42"/>
  <c r="H99" i="42"/>
  <c r="H158" i="42"/>
  <c r="H58" i="42"/>
  <c r="H156" i="42"/>
  <c r="H20" i="42"/>
  <c r="H119" i="42"/>
  <c r="H145" i="42"/>
  <c r="H146" i="42"/>
  <c r="H112" i="42"/>
  <c r="H113" i="42"/>
  <c r="H49" i="42"/>
  <c r="H90" i="42"/>
  <c r="H76" i="42"/>
  <c r="H77" i="42"/>
  <c r="H45" i="42"/>
  <c r="H37" i="42"/>
  <c r="H38" i="42"/>
  <c r="H101" i="42"/>
  <c r="H155" i="42"/>
  <c r="H157" i="42"/>
  <c r="H228" i="42"/>
  <c r="H202" i="42"/>
  <c r="H184" i="42"/>
  <c r="H92" i="42"/>
  <c r="H180" i="42"/>
  <c r="H31" i="42"/>
  <c r="H114" i="42"/>
  <c r="H233" i="42"/>
  <c r="H98" i="42"/>
  <c r="H107" i="42"/>
  <c r="H104" i="42"/>
  <c r="H160" i="42"/>
  <c r="H195" i="42"/>
  <c r="H25" i="42"/>
  <c r="H232" i="42"/>
  <c r="H137" i="42"/>
  <c r="H230" i="42"/>
  <c r="H132" i="42"/>
  <c r="H54" i="42"/>
  <c r="H185" i="42"/>
  <c r="H213" i="42"/>
  <c r="H220" i="42"/>
  <c r="H122" i="42"/>
  <c r="H154" i="42"/>
  <c r="H123" i="42"/>
  <c r="H170" i="42"/>
  <c r="H73" i="42"/>
  <c r="H121" i="42"/>
  <c r="H128" i="42"/>
  <c r="H133" i="42"/>
  <c r="H127" i="42"/>
  <c r="H43" i="42"/>
  <c r="H144" i="42"/>
  <c r="H68" i="42"/>
  <c r="H33" i="42"/>
  <c r="H34" i="42"/>
  <c r="H214" i="42"/>
  <c r="H126" i="42"/>
  <c r="H212" i="42"/>
  <c r="H149" i="42"/>
  <c r="H61" i="42"/>
  <c r="H64" i="42"/>
  <c r="H234" i="42"/>
  <c r="H147" i="42"/>
  <c r="H189" i="42"/>
  <c r="H225" i="42"/>
  <c r="H55" i="42"/>
  <c r="H159" i="42"/>
  <c r="H125" i="42"/>
  <c r="H169" i="42"/>
  <c r="H10" i="42"/>
  <c r="H177" i="42"/>
  <c r="H148" i="42"/>
  <c r="H141" i="42"/>
  <c r="H41" i="42"/>
  <c r="H32" i="42"/>
  <c r="H192" i="42"/>
  <c r="H238" i="42"/>
  <c r="H26" i="42"/>
  <c r="H70" i="42"/>
  <c r="H193" i="42"/>
  <c r="H174" i="42"/>
  <c r="H16" i="42"/>
  <c r="H181" i="42"/>
  <c r="H106" i="42"/>
  <c r="H211" i="42"/>
  <c r="H208" i="42"/>
  <c r="H110" i="42"/>
  <c r="H171" i="42"/>
  <c r="H69" i="42"/>
  <c r="H111" i="42"/>
  <c r="H216" i="42"/>
  <c r="H204" i="42"/>
  <c r="H21" i="42"/>
  <c r="H11" i="42"/>
  <c r="H183" i="42"/>
  <c r="H188" i="42"/>
  <c r="H235" i="42"/>
  <c r="H231" i="42"/>
  <c r="H12" i="42"/>
  <c r="H129" i="42"/>
  <c r="H118" i="42"/>
  <c r="H105" i="42"/>
  <c r="H50" i="42"/>
  <c r="H217" i="42"/>
  <c r="H14" i="42"/>
  <c r="H81" i="42"/>
  <c r="H139" i="42"/>
  <c r="H67" i="42"/>
  <c r="H86" i="42"/>
  <c r="H84" i="42"/>
  <c r="H108" i="42"/>
  <c r="H151" i="42"/>
  <c r="H236" i="42"/>
  <c r="H150" i="42"/>
  <c r="H219" i="42"/>
  <c r="H207" i="42"/>
  <c r="H131" i="42"/>
  <c r="H66" i="42"/>
  <c r="H13" i="42"/>
  <c r="H179" i="42"/>
  <c r="H223" i="42"/>
  <c r="H173" i="42"/>
  <c r="H143" i="42"/>
  <c r="H65" i="42"/>
  <c r="H172" i="42"/>
  <c r="G7" i="57"/>
  <c r="D11" i="57" s="1"/>
  <c r="H36" i="42"/>
  <c r="H210" i="42"/>
  <c r="H140" i="42"/>
  <c r="H39" i="42"/>
  <c r="H22" i="42"/>
  <c r="H194" i="42"/>
  <c r="H95" i="42"/>
  <c r="H30" i="42"/>
  <c r="H198" i="42"/>
  <c r="H124" i="42"/>
  <c r="H130" i="42"/>
  <c r="H224" i="42"/>
  <c r="H82" i="42"/>
  <c r="H187" i="42"/>
  <c r="H94" i="42"/>
  <c r="H72" i="42"/>
  <c r="H109" i="42"/>
  <c r="H46" i="42"/>
  <c r="H191" i="42"/>
  <c r="H218" i="42"/>
  <c r="H196" i="42"/>
  <c r="H44" i="42"/>
  <c r="H87" i="42"/>
  <c r="H200" i="42"/>
  <c r="H24" i="42"/>
  <c r="H222" i="42"/>
  <c r="H35" i="42"/>
  <c r="H205" i="42"/>
  <c r="H28" i="42"/>
  <c r="H75" i="42"/>
  <c r="H56" i="42"/>
  <c r="H199" i="42"/>
  <c r="H19" i="42"/>
  <c r="H182" i="42"/>
  <c r="H190" i="42"/>
  <c r="H103" i="42"/>
  <c r="H221" i="42"/>
  <c r="H186" i="42"/>
  <c r="H102" i="42"/>
  <c r="H63" i="42"/>
  <c r="H178" i="42"/>
  <c r="H201" i="42"/>
  <c r="H120" i="42"/>
  <c r="H40" i="42"/>
  <c r="H215" i="42"/>
  <c r="H47" i="42"/>
  <c r="H57" i="42"/>
  <c r="H80" i="42"/>
  <c r="H135" i="42"/>
  <c r="H209" i="42"/>
  <c r="H203" i="42"/>
  <c r="H142" i="42"/>
  <c r="H175" i="42"/>
  <c r="H134" i="42"/>
  <c r="H136" i="42"/>
  <c r="H27" i="42"/>
  <c r="H78" i="42"/>
  <c r="H97" i="42"/>
  <c r="H117" i="42"/>
  <c r="H60" i="42"/>
  <c r="H52" i="42"/>
  <c r="H227" i="42"/>
  <c r="H226" i="42"/>
  <c r="H138" i="42"/>
  <c r="H17" i="42"/>
  <c r="H23" i="42"/>
  <c r="H53" i="42"/>
  <c r="H152" i="42"/>
  <c r="H100" i="42"/>
  <c r="H18" i="42"/>
  <c r="H206" i="42"/>
  <c r="H59" i="42"/>
  <c r="H51" i="42"/>
  <c r="H239" i="42"/>
  <c r="H116" i="42"/>
  <c r="H229" i="42"/>
  <c r="H15" i="42"/>
  <c r="H29" i="42"/>
  <c r="H93" i="42"/>
  <c r="H96" i="42"/>
  <c r="H74" i="42"/>
  <c r="H83" i="42"/>
  <c r="H153" i="42"/>
  <c r="H71" i="42"/>
  <c r="H48" i="42"/>
  <c r="H115" i="42"/>
  <c r="H176" i="42"/>
  <c r="H42" i="42"/>
  <c r="H237" i="42"/>
  <c r="H91" i="42"/>
  <c r="H79" i="42"/>
  <c r="H197" i="42"/>
  <c r="H88" i="42"/>
  <c r="H85" i="42"/>
  <c r="H89" i="42"/>
  <c r="H62" i="42"/>
  <c r="D12" i="57" l="1"/>
  <c r="D23" i="57"/>
  <c r="D25" i="57" s="1"/>
  <c r="J7" i="57"/>
  <c r="J105" i="57" s="1"/>
  <c r="G60" i="57"/>
  <c r="N28" i="57"/>
  <c r="D15" i="57"/>
  <c r="D18" i="57"/>
  <c r="D14" i="57"/>
  <c r="D17" i="57"/>
  <c r="D13" i="57"/>
  <c r="G105" i="57"/>
  <c r="D16" i="57"/>
  <c r="J60" i="57" l="1"/>
  <c r="D19" i="57"/>
  <c r="D27" i="57" s="1"/>
</calcChain>
</file>

<file path=xl/sharedStrings.xml><?xml version="1.0" encoding="utf-8"?>
<sst xmlns="http://schemas.openxmlformats.org/spreadsheetml/2006/main" count="1239" uniqueCount="596">
  <si>
    <t>%</t>
  </si>
  <si>
    <t>M2</t>
  </si>
  <si>
    <t>UND</t>
  </si>
  <si>
    <t>DESCRIÇÃO</t>
  </si>
  <si>
    <t>PREÇO(R$)</t>
  </si>
  <si>
    <t>PREÇO TOTAL (R$)</t>
  </si>
  <si>
    <t>Obra:</t>
  </si>
  <si>
    <t>Endereço:</t>
  </si>
  <si>
    <t>Data:</t>
  </si>
  <si>
    <t>TOTAL:</t>
  </si>
  <si>
    <t>Área (m²):</t>
  </si>
  <si>
    <t>ESTIMATIVA ORÇAMENTÁRIA</t>
  </si>
  <si>
    <t>REFERÊNCIA</t>
  </si>
  <si>
    <t>UNIVERSIDADE FEDERAL DA BAHIA</t>
  </si>
  <si>
    <t>TOTAL</t>
  </si>
  <si>
    <t xml:space="preserve"> </t>
  </si>
  <si>
    <t>Área (m2):</t>
  </si>
  <si>
    <t>Valor Total (R$):</t>
  </si>
  <si>
    <t>Custo p/m2 (R$):</t>
  </si>
  <si>
    <t>CRONOGRAMA FÍSICO-FINANCEIRO</t>
  </si>
  <si>
    <t>ITEM</t>
  </si>
  <si>
    <t>SERVIÇOS</t>
  </si>
  <si>
    <t>V. ITEM (R$)</t>
  </si>
  <si>
    <t>30 Dias</t>
  </si>
  <si>
    <t>60 Dias</t>
  </si>
  <si>
    <t>Valor(R$)</t>
  </si>
  <si>
    <t>TOTAL GERAL</t>
  </si>
  <si>
    <t>TOTAL ACUMULADO</t>
  </si>
  <si>
    <t>BAHIA</t>
  </si>
  <si>
    <t>CÓDIGO</t>
  </si>
  <si>
    <t>COM DESONERAÇÃO</t>
  </si>
  <si>
    <t>SEM DESONERAÇÃO</t>
  </si>
  <si>
    <t>HORISTA          %</t>
  </si>
  <si>
    <t>MENSALISTA      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</si>
  <si>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</si>
  <si>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</si>
  <si>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</si>
  <si>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</si>
  <si>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</si>
  <si>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</si>
  <si>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</si>
  <si>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</si>
  <si>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</si>
  <si>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</si>
  <si>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</si>
  <si>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</si>
  <si>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</si>
  <si>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</si>
  <si>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</si>
  <si>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</si>
  <si>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</si>
  <si>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</si>
  <si>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</si>
  <si>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</si>
  <si>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</si>
  <si>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</si>
  <si>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</si>
  <si>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</si>
  <si>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</si>
  <si>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</si>
  <si>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</si>
  <si>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</si>
  <si>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DÉCIMO-TERCEIRO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</si>
  <si>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</si>
  <si>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</si>
  <si>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</si>
  <si>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</si>
  <si>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</si>
  <si>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</si>
  <si>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</si>
  <si>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</si>
  <si>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</si>
  <si>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</si>
  <si>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</si>
  <si>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</si>
  <si>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</si>
  <si>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</si>
  <si>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</si>
  <si>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</si>
  <si>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</si>
  <si>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</si>
  <si>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</si>
  <si>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</si>
  <si>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</si>
  <si>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</si>
  <si>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</si>
  <si>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</si>
  <si>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</si>
  <si>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</si>
  <si>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</si>
  <si>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</si>
  <si>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</si>
  <si>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</si>
  <si>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</si>
  <si>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REVISÃO:</t>
  </si>
  <si>
    <t>CLIENTE: UNIVERSIDADE FEDERAL DA BAHIA</t>
  </si>
  <si>
    <t>DATA: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</si>
  <si>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</si>
  <si>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</si>
  <si>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</si>
  <si>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</si>
  <si>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</si>
  <si>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</si>
  <si>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</si>
  <si>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</si>
  <si>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</si>
  <si>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</si>
  <si>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</si>
  <si>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</si>
  <si>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</si>
  <si>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</si>
  <si>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</si>
  <si>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</si>
  <si>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</si>
  <si>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</si>
  <si>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</si>
  <si>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</si>
  <si>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</si>
  <si>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</si>
  <si>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</si>
  <si>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</si>
  <si>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</si>
  <si>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</si>
  <si>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</si>
  <si>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</si>
  <si>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</si>
  <si>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</si>
  <si>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</si>
  <si>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</si>
  <si>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</si>
  <si>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</si>
  <si>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</si>
  <si>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</si>
  <si>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</si>
  <si>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</si>
  <si>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</si>
  <si>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CPRB (Contribuição Previdenciária sobre a Receita Bruta)</t>
  </si>
  <si>
    <t>SUBTOTAL   I   (SERVIÇOS)</t>
  </si>
  <si>
    <t>SUBTOTAL   II  (ADM LOCAL)</t>
  </si>
  <si>
    <t>DEPÓSITO RESCISÃO SEM JUSTA CAUSA</t>
  </si>
  <si>
    <t>QUANTIDADE</t>
  </si>
  <si>
    <t>COORDENAÇÃO DE ORÇAMENTO E PLANEJAMENTO</t>
  </si>
  <si>
    <t>SUPERINTENDÊNCIA DE MEIO AMBIENTE E INFRAESTRUTURA</t>
  </si>
  <si>
    <t>ATUALIZAÇÃO</t>
  </si>
  <si>
    <t>ATUALIZAÇÃO:</t>
  </si>
  <si>
    <t>Atualização</t>
  </si>
  <si>
    <t>MEMÓRIA DE CALCULO DO BDI - SERVIÇOS</t>
  </si>
  <si>
    <t>ENCARGOS SOCIAIS SOBRE A MÃO DE OBRA                                         SINAPI - CAIXA ECONÔMICA FEDERAL</t>
  </si>
  <si>
    <t>SUPERINTENDENCIA DE MEIO AMBIENTE E INFRAESTRUTURA</t>
  </si>
  <si>
    <t>B.D.I.:</t>
  </si>
  <si>
    <t>MEMÓRIA DE CÁLCULO DO BDI</t>
  </si>
  <si>
    <t>Observações:</t>
  </si>
  <si>
    <t>B.D.I.</t>
  </si>
  <si>
    <t>V.TOTAL(R$)           c/ B.D.I.</t>
  </si>
  <si>
    <t>M</t>
  </si>
  <si>
    <t>SUBTOTAL:</t>
  </si>
  <si>
    <t>H</t>
  </si>
  <si>
    <t xml:space="preserve">ADMINISTRAÇÃO LOCAL </t>
  </si>
  <si>
    <t>MÊS</t>
  </si>
  <si>
    <t>M3</t>
  </si>
  <si>
    <t>SERVENTE COM ENCARGOS COMPLEMENTARES</t>
  </si>
  <si>
    <t>COMPOSIÇÕES DE PREÇOS</t>
  </si>
  <si>
    <t>PEDREIRO COM ENCARGOS COMPLEMENTARES</t>
  </si>
  <si>
    <t>QTD</t>
  </si>
  <si>
    <t>P.UNIT</t>
  </si>
  <si>
    <t>P.TOTAL</t>
  </si>
  <si>
    <t>COMPOSIÇÃO</t>
  </si>
  <si>
    <t>INSUMO</t>
  </si>
  <si>
    <t>1.1</t>
  </si>
  <si>
    <t>1.3</t>
  </si>
  <si>
    <t>2.1</t>
  </si>
  <si>
    <t>LOCACAO DE ANDAIME METALICO TUBULAR DE ENCAIXE, TIPO DE TORRE, COM LARGURA DE 1 ATE 1,5 M E ALTURA DE *1,00* M</t>
  </si>
  <si>
    <t>MXMÊS</t>
  </si>
  <si>
    <t>MONTAGEM E DESMONTAGEM DE ANDAIME TUBULAR TIPO TORRE (EXCLUSIVE ANDAIME E LIMPEZA). AF_11/2017</t>
  </si>
  <si>
    <t>1.2</t>
  </si>
  <si>
    <t>ENCARREGADO GERAL DE OBRAS COM ENCARGOS COMPLEMENTARES</t>
  </si>
  <si>
    <t>93572</t>
  </si>
  <si>
    <t>Área (m²)</t>
  </si>
  <si>
    <t>COEF</t>
  </si>
  <si>
    <t>R$ UNIT</t>
  </si>
  <si>
    <t>total:</t>
  </si>
  <si>
    <t>CARGA MANUAL DE ENTULHO EM CAMINHAO BASCULANTE 6 M3</t>
  </si>
  <si>
    <t>Itens com os códigos com as letras "S" e "I" na frente são resoectivamente composições e insumos de Orse, códigos sem letra são preços de Sinapi.</t>
  </si>
  <si>
    <t>CAMINHÃO BASCULANTE 6 M3, PESO BRUTO TOTAL 16.000 KG, CARGA ÚTIL MÁXIMA 13.071 KG, DISTÂNCIA ENTRE EIXOS 4,80 M, POTÊNCIA 230 CV INCLUSIVE CAÇAMBA METÁLICA - CHI DIURNO. AF_06/2014</t>
  </si>
  <si>
    <t>CHI</t>
  </si>
  <si>
    <t>Serviços de Recuperação de Ambientes no ICS</t>
  </si>
  <si>
    <t>Campus Universitário do Canela - Salvador - Bahia</t>
  </si>
  <si>
    <t>DEMOLIÇÕES E RETIRADAS</t>
  </si>
  <si>
    <t>1º PAVIMENTO</t>
  </si>
  <si>
    <t>2º PAVIMENTO</t>
  </si>
  <si>
    <t>3º PAVIMENTO</t>
  </si>
  <si>
    <t>4º PAVIMENTO</t>
  </si>
  <si>
    <t>5º PAVIMENTO</t>
  </si>
  <si>
    <t>SANITÁRIO FEM. 2º PAV</t>
  </si>
  <si>
    <t>SANITÁRIO FEM/MASC.. 3º PAV</t>
  </si>
  <si>
    <t>SANITÁRIO FEM. 4º PAV.</t>
  </si>
  <si>
    <t>SANITÁRIO MASC. 5º PAV</t>
  </si>
  <si>
    <t>REVESTIMENTO</t>
  </si>
  <si>
    <t>PAVIMENTAÇÃO</t>
  </si>
  <si>
    <t>PINTURA</t>
  </si>
  <si>
    <t>LOUÇAS, METAIS E ACESSÓRIOS</t>
  </si>
  <si>
    <t>ESQUADRIAS</t>
  </si>
  <si>
    <t>INSTALAÇÕES ELÉTRICAS</t>
  </si>
  <si>
    <t>REMOÇÃO DE CANTONEIRA/TESTEIRA DE ALUMÍNIO NO PISO DA ESCADA</t>
  </si>
  <si>
    <t>SABONETEIRA EM PLÁSTICO ABS, PARA SABONETE LÍQUIDO, DA JSN, REF. J7 OU SIMILAR</t>
  </si>
  <si>
    <t>FORNECIMENTO E INSTALAÇÃO DE ESQUADRIA DE ALUMÍNIO ANODIZADO SÉRIE GOLD
OU SIMILAR COM VIDRO LISO TRANSPARENTE LISO E=6mm SISTEMA FIXO/MAXIM-AR  (J02- 4,00X2,90M)</t>
  </si>
  <si>
    <t>FORNECIMENTO E INSTALAÇÃO DE ESQUADRIA DE ALUMÍNIO ANODIZADO SÉRIE GOLD
OU SIMILAR COM VIDRO  FIXO TRANSPARENTE LISO E=6mm (COMPLEMENTAÇÃO DE ESQUADRIA EXISTENTE)- (J01- 2,00X0,53M)</t>
  </si>
  <si>
    <t>SERVIÇOS FINAIS E DESMOBILIZAÇÃO</t>
  </si>
  <si>
    <t>S00031</t>
  </si>
  <si>
    <t>REMOÇÃO DE PLACA DE OBRA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</si>
  <si>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</si>
  <si>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CARGA MANUAL DE ENTULHO EM CAMINHAO BASCULANTE 6M3</t>
  </si>
  <si>
    <t>TRANSPORTE COM CAMINHÃO BASCULANTE DE 6 M3, EM VIA URBANA PAVIMENTADA,DMT ATÉ 30 KM (UNIDADE: M3XKM). AF_07/2020</t>
  </si>
  <si>
    <t>M3XKM</t>
  </si>
  <si>
    <t>S02450</t>
  </si>
  <si>
    <t>LIMPEZA GERAL</t>
  </si>
  <si>
    <t>MOBILIZAÇÃO E SERVIÇOS PRELIMINARES</t>
  </si>
  <si>
    <t>S00051</t>
  </si>
  <si>
    <t>PLACA DE OBRA EM CHAPA AÇO GALVANIZADO, INSTALADA</t>
  </si>
  <si>
    <t>CHP</t>
  </si>
  <si>
    <t>2.3</t>
  </si>
  <si>
    <t>00010775</t>
  </si>
  <si>
    <t>LOCACAO DE CONTAINER 2,30 X 6,00 M, ALT. 2,50 M, COM 1 SANITARIO, PARA ESCRITORIO COMPLETO, SEM DIVISORIAS INTERNAS</t>
  </si>
  <si>
    <t>2.2</t>
  </si>
  <si>
    <t>2.4</t>
  </si>
  <si>
    <t>2.5</t>
  </si>
  <si>
    <t>3.1</t>
  </si>
  <si>
    <t>3.1.1</t>
  </si>
  <si>
    <t>3.2</t>
  </si>
  <si>
    <t>3.3</t>
  </si>
  <si>
    <t>3.4</t>
  </si>
  <si>
    <t>3.2.1</t>
  </si>
  <si>
    <t>3.3.1</t>
  </si>
  <si>
    <t>3.4.1</t>
  </si>
  <si>
    <t>5.1</t>
  </si>
  <si>
    <t>5.1.1</t>
  </si>
  <si>
    <t>6.1</t>
  </si>
  <si>
    <t>6.1.1</t>
  </si>
  <si>
    <t>6.1.2</t>
  </si>
  <si>
    <t>6.2</t>
  </si>
  <si>
    <t>6.2.1</t>
  </si>
  <si>
    <t>6.3</t>
  </si>
  <si>
    <t>6.4</t>
  </si>
  <si>
    <t>6.3.1</t>
  </si>
  <si>
    <t>6.4.1</t>
  </si>
  <si>
    <t>9.1</t>
  </si>
  <si>
    <t>9.2</t>
  </si>
  <si>
    <t>9.3</t>
  </si>
  <si>
    <t>9.4</t>
  </si>
  <si>
    <t>9.5</t>
  </si>
  <si>
    <t>3.1.2</t>
  </si>
  <si>
    <t>3.2.2</t>
  </si>
  <si>
    <t xml:space="preserve">TRANSPORTE HORIZONTAL DE MATERIAIS DIVERSOS </t>
  </si>
  <si>
    <t>TRANSPORTE HORIZONTAL DE MATERIAIS DIVERSOS</t>
  </si>
  <si>
    <t>ENGENHEIRO CIVIL DE OBRA JUNIOR COM ENCARGOS COMPLEMENTARES (Meio Período)</t>
  </si>
  <si>
    <t>93565</t>
  </si>
  <si>
    <t>REMOÇÃO DE JANELAS, DE FORMA MANUAL, SEM REAPROVEITAMENTO. AF_12/2017 - ESQUADRIA DE MADEIRA DE 2,00x0,53M</t>
  </si>
  <si>
    <t>S 07216</t>
  </si>
  <si>
    <t>97645</t>
  </si>
  <si>
    <t>85421</t>
  </si>
  <si>
    <t>REMOCAO DE VIDRO COMUM-ESQUADRIA DE MADEIRA DE 2,00x0,53M</t>
  </si>
  <si>
    <t xml:space="preserve">REMOÇÃO DE JANELAS, DE FORMA MANUAL, SEM REAPROVEITAMENTO. AF_12/2017 - ESQUADRIA DE MADEIRA DE 4,00X2,90M </t>
  </si>
  <si>
    <t>REMOCAO DE VIDRO COMUM-ESQUADRIA DE MADEIRA DE 4,00x2,90M</t>
  </si>
  <si>
    <t>DEMOLIÇÃO DE PISOS VINÍLICOS (PAVIFLEX), EXCLUSIVE CONTRA-PISO</t>
  </si>
  <si>
    <t>S 00035</t>
  </si>
  <si>
    <t>TESTEIRA PARA PISO VINÍLICO H=6CM (FORNECIMENTO E ASSENTAMENTO)</t>
  </si>
  <si>
    <t>BASE 05049/ORSE</t>
  </si>
  <si>
    <t>JANEIRO/2021</t>
  </si>
  <si>
    <t>100279</t>
  </si>
  <si>
    <t>2º PAV PARA O 1º E DO 1º PAV PARA O TÉRREO- POR ISSO X2</t>
  </si>
  <si>
    <t>3º PAV PARA O 2º, 2º PAV PARA O 1º E DO 1º PAV PARA O TÉRREO- POR ISSO X3</t>
  </si>
  <si>
    <t>4º PAV PARA O 3º, 3º PAV PARA O 2º, 2º PAV PARA O 1º E DO 1º PAV PARA O TÉRREO- POR ISSO X4</t>
  </si>
  <si>
    <t>5º PAV PARA O 4º,4º PAV PARA O 3º, 3º PAV PARA O 2º, 2º PAV PARA O 1º E DO 1º PAV PARA O TÉRREO- POR ISSO X5</t>
  </si>
  <si>
    <t>S 02095</t>
  </si>
  <si>
    <t>RETIRADA DE VASO SANITÁRIO</t>
  </si>
  <si>
    <t>TRANSPORTE VERTICAL MANUAL, 1 PAVIMENTO, DE BACIA SANITÁRIA,CAIXA, TANQUE OU PIA (UNIDADE: UNID). AF_07/2019</t>
  </si>
  <si>
    <t>S 03264</t>
  </si>
  <si>
    <t>REMOÇÃO DE CAIXA DE DESCARGA DE SOBREPOR</t>
  </si>
  <si>
    <t>2 porta papel higiênico, 1 porta toalha, 1 saboneteira plástico</t>
  </si>
  <si>
    <t>REVESTIMENTO CERAMICO PARA PAREDE, 15 X 15 CM, AZULEJO BRANCO, TIPO A APLICADO COM ARGAMASSA INDUSTRIALIZADA AC-I, REJUNTADO, EXCLUSIVE EMBOÇO- Recomposição de revestimento</t>
  </si>
  <si>
    <t>S 01912</t>
  </si>
  <si>
    <t>S 02180</t>
  </si>
  <si>
    <t>DEMOLIÇÃO DE PISO CERÂMICO OU LADRILHO</t>
  </si>
  <si>
    <t>S 00018</t>
  </si>
  <si>
    <t>S 02226</t>
  </si>
  <si>
    <t>PISO VINÍLICO 30 X 30 CM, E=3,2MM, LISO, FIXADO COM COLA SOBRE CIMENTADO, PAVIFLEX OU SIMILAR (EXCETO CIMENTADO)- COR CINZA CLARO- FORNECIMENTO E ASSENTAMENTO</t>
  </si>
  <si>
    <t>BASE 10618/ORSE</t>
  </si>
  <si>
    <t>CERÂMICA 45 X 45 CM, ELIANE, LINHA CARGO PLUS GRAY BOLD BRILHANTE OU SIMILAR</t>
  </si>
  <si>
    <t>KG</t>
  </si>
  <si>
    <t>ARGAMASSA COLANTE AC II</t>
  </si>
  <si>
    <t>REJUNTE COLORIDO FLEXIVEL PARA REVESTIMENTOS CERÂMICOS</t>
  </si>
  <si>
    <t>S 03833</t>
  </si>
  <si>
    <t>S 03967</t>
  </si>
  <si>
    <t>REMOÇÃO DE PINTURA COM APLICAÇÃO 01 DEMÃO DE REMOVEDOR DE TINTA, MARCA CORAL OU SIMILAR- Divisória</t>
  </si>
  <si>
    <t>88487</t>
  </si>
  <si>
    <t>APLICAÇÃO MANUAL DE PINTURA COM TINTA LÁTEX PVA EM PAREDES, DUAS DEMÃOS. AF_06/2014 - Divisória</t>
  </si>
  <si>
    <t>EMASSAMENTO DE SUPERFÍCIE, COM APLICAÇÃO DE 02 DEMÃOS DE MASSA CORRIDA - R1</t>
  </si>
  <si>
    <t>S 08623</t>
  </si>
  <si>
    <t>PINTURA COM 02 DEMÃOS DE TINTA EPOXI - NORMA 1198-II- azulejos</t>
  </si>
  <si>
    <t xml:space="preserve"> S 02316</t>
  </si>
  <si>
    <t>PINTURA DE ACABAMENTO COM APLICAÇÃO DE 02 DEMÃOS TINTA ESMALTE SINTÉTICO, E = 35 MICRONS P/ DEMÃO- Tubulação aparente do vaso sanitário</t>
  </si>
  <si>
    <t>PINTURA ESMALTE ACETINADO EM MADEIRA, DUAS DEMAOS-portas de madeira</t>
  </si>
  <si>
    <t>73739/001</t>
  </si>
  <si>
    <t>APLICAÇÃO MANUAL DE PINTURA COM TINTA LÁTEX ACRÍLICA EM TETO, DUAS DEMÃOS. AF_06/2014</t>
  </si>
  <si>
    <t>88488</t>
  </si>
  <si>
    <t>S 7609</t>
  </si>
  <si>
    <t>S 12208</t>
  </si>
  <si>
    <t>PORTA PAPEL TOALHA PARA PAPEL INTERFOLHA 2 OU 3 DOBRAS, INJETADO COM A FRENTE EM PLÁSTICO ABS BRANCO, COM VISOR FRONTAL PARA CONTROLE DE SUBSTITUIÇÃO DO PAPEL INTERFOLHA E FUNDO EM PLÁSTICO ABS CINZA.</t>
  </si>
  <si>
    <t>S12511</t>
  </si>
  <si>
    <t>DISPENSER, EM PLÁSTICO, PARA PAPEL HIGIÊNICO EM ROLO</t>
  </si>
  <si>
    <t>74125/002</t>
  </si>
  <si>
    <t>ESPELHO CRISTAL ESPESSURA 4MM, COM MOLDURA EM ALUMINIO E COMPENSADO 6MM PLASTIFICADO COLADO (0,80x0,60m)</t>
  </si>
  <si>
    <t>S 02266</t>
  </si>
  <si>
    <t>DEMOLIÇÃO DE PISO CERÂMICO OU LADRILHO- para assentar soleira</t>
  </si>
  <si>
    <t>CUBA DE EMBUTIR OVAL (DECA LINHA REF L37) P/ INSTALAÇÃO EM BANCADAS, C/ SIFÃO CROMADO (DECA REF C1680) , ENGATE CROMADO (DECA) OU SIMILARES</t>
  </si>
  <si>
    <t xml:space="preserve"> S02010</t>
  </si>
  <si>
    <t>TORNEIRA DE MESA COM FECHAMENTO AUTOMÁTICO, LINHA DECAMATIC ECO, REF.1173.C, DECA OU SIMILAR</t>
  </si>
  <si>
    <t>S 09676</t>
  </si>
  <si>
    <t xml:space="preserve">TUBO, PVC, SOLDÁVEL, DN 25MM, INSTALADO EM RAMAL DE DISTRIBUIÇÃO DE ÁGUA - FORNECIMENTO E INSTALAÇÃO. AF_12/2014 - prolongamento de tubulação aparente até vaso sanitário </t>
  </si>
  <si>
    <t>89402</t>
  </si>
  <si>
    <t>BASE 01201/ORSE</t>
  </si>
  <si>
    <t xml:space="preserve">REVISÃO DE PONTO DE ÁGUA </t>
  </si>
  <si>
    <t>ENCANADOR OU BOMBEIRO HIDRÁULICO COM ENCARGOS COMPLEMENTARES</t>
  </si>
  <si>
    <t>JOELHO, PVC SOLDAVEL, 45 GRAUS, 25 MM, PARA AGUA FRIA PREDIAL</t>
  </si>
  <si>
    <t>TUBO PVC, SOLDAVEL, DN 25 MM, AGUA FRIA (NBR-5648)</t>
  </si>
  <si>
    <t>ADESIVO PVC EM FRASCO DE 850 GRAMAS</t>
  </si>
  <si>
    <t xml:space="preserve">REVISÃO DE PONTO DE ÁGUA -prolongamento de tubulação aparente até vaso sanitário </t>
  </si>
  <si>
    <t>PEITORIL MÁRMORE BRANCO, C/ LARGURA = 19 CM, ESP = 2 CM,COM PINGADEIRA</t>
  </si>
  <si>
    <t>S 08590</t>
  </si>
  <si>
    <t>S 00632</t>
  </si>
  <si>
    <t>REVISÃO DE PONTO DE INTERRUPTOR COM REPOSIÇÃO DO INTERRUPTOR E FIAÇÃO</t>
  </si>
  <si>
    <t xml:space="preserve">TRECHO DO BANHEIRO DO SANIT FEMININO- JÁ TEM DEMOLIDO O EQUIVALENTE A 12 PEÇAS DE 20X20CM </t>
  </si>
  <si>
    <t>1 porta papel higiênico, 1 porta toalha, 1 saboneteira plástico</t>
  </si>
  <si>
    <t>REMOÇÃO DE METAIS SANITÁRIOS (TORNEIRA, REGISTROS, CHUVEIROS, ETC.)</t>
  </si>
  <si>
    <t>SIFÃO DO TIPO FLEXÍVEL EM PVC 1 X 1.1/2 - FORNECIMENTO E INSTALAÇÃO.AF_01/2020</t>
  </si>
  <si>
    <t>1 porta papel higiênico, 1 porta toalha, 1 saboneteira plástico, sifão</t>
  </si>
  <si>
    <t>S 07215</t>
  </si>
  <si>
    <t>BASE 04068/ORSE</t>
  </si>
  <si>
    <t>COMPOSICAO</t>
  </si>
  <si>
    <t>CARPINTEIRO DE ESQUADRIAS COM ENCARGOS COMPLEMENTARES</t>
  </si>
  <si>
    <t>BATEDOR P/FECHADURA (TARJETA) LIVRE-OCUPADO P/DIV.MARMORE OU GRANITO, REF. BT0830 - IMAB OU SIMILAR</t>
  </si>
  <si>
    <t>PARAFUSO EM AÇO INOX P/ BATEDOR DE FECHADURA (TARJETA) LIVRE-OCUPADO P/DIV.MARMORE OU GRANITO REF. PF0860 - IMAB OU SIMILAR</t>
  </si>
  <si>
    <t>PORTA PARA DIVISÓRIA, DIM. 820 X 2110 X 35MM, NAVAL OU SIMILAR - REV. 01</t>
  </si>
  <si>
    <t>PINTURA DE ACABAMENTO COM APLICAÇÃO DE 02 DEMÃOS TINTA ESMALTE SINTÉTICO, E = 35 MICRONS P/ DEMÃO- Tubulação aparente do vaso sanitário e da tubulação abaixo da bancada</t>
  </si>
  <si>
    <t>DEMOLIÇÃO DE ESPELHO APARAFUSADO</t>
  </si>
  <si>
    <t>AJUDANTE DE CARPINTEIRO COM ENCARGOS COMPLEMENTARES</t>
  </si>
  <si>
    <t>88325</t>
  </si>
  <si>
    <t>VIDRACEIRO COM ENCARGOS COMPLEMENTARES</t>
  </si>
  <si>
    <t>BASE 01778/ORSE</t>
  </si>
  <si>
    <t>1 torneira</t>
  </si>
  <si>
    <t>REMOÇÃO DE MOLA DE PORTA COM REAPROVEITAMENTO DO MATERIAL</t>
  </si>
  <si>
    <t>INSTALAÇÃO DE MOLA DE PORTA  REAPROVEITADA</t>
  </si>
  <si>
    <t>INSTALAÇÃO DE MOLA DE PORTA REAPROVEITADA</t>
  </si>
  <si>
    <t>S 00031</t>
  </si>
  <si>
    <t>FORNECIMENTO E INSTALAÇÃO DE FOLHA DE PORTA DE 0,80X2,10M INCLUSIVE PINTURA ESMALTE</t>
  </si>
  <si>
    <t>90822</t>
  </si>
  <si>
    <t>PORTA DE MADEIRA PARA PINTURA, SEMI-OCA (LEVE OU MÉDIA), 80X210CM, ESPESSURA DE 3,5CM, INCLUSO DOBRADIÇAS - FORNECIMENTO E INSTALAÇÃO. AF_12/2019</t>
  </si>
  <si>
    <t>UN</t>
  </si>
  <si>
    <t>90830</t>
  </si>
  <si>
    <t>FECHADURA DE EMBUTIR COM CILINDRO, EXTERNA, COMPLETA, ACABAMENTO PADRÃO MÉDIO, INCLUSO EXECUÇÃO DE FURO - FORNECIMENTO E INSTALAÇÃO. AF_12/2019</t>
  </si>
  <si>
    <t>BASE 90843</t>
  </si>
  <si>
    <t>FORNECIMENTO E INSTALAÇÃO DE PERFIL EM ALUMÍNIO DE PORTA DE DIVISÓRIA  EXISTENTE</t>
  </si>
  <si>
    <t>BASE 08972/ORSE</t>
  </si>
  <si>
    <t>PERFIL GUIA, FORMATO U, EM ACO ZINCADO, PARA ESTRUTURA PAREDE DRYWALL, E = 0,5MM, 48 X 3000 MM (L X C)</t>
  </si>
  <si>
    <t>SERRALHEIRO COM ENCARGOS COMPLEMENTARES</t>
  </si>
  <si>
    <t>3 porta papel higiênico, 3 porta toalha, 1 saboneteira</t>
  </si>
  <si>
    <t>sanitário feminino só onde é o sanitário, não pintar no primeiro ambiente do sanitário</t>
  </si>
  <si>
    <t>S 07784</t>
  </si>
  <si>
    <t>S 01201</t>
  </si>
  <si>
    <t>REVISÃO DE PONTO DE ÁGUA TIPO 2</t>
  </si>
  <si>
    <t>sanitário feminino só onde é o sanitário</t>
  </si>
  <si>
    <t>FECHADURA PADO, TIPO TARJETA LIVRE/OCUPADO, REF.032-CR, BOTÃO 26,5MM, CROMADA (OU SIMILAR)</t>
  </si>
  <si>
    <t>S 07756</t>
  </si>
  <si>
    <t>REMOÇÃO DE FECHADURA LIVRE-OCUPADO</t>
  </si>
  <si>
    <t>BASE 100705</t>
  </si>
  <si>
    <t>2 portas e caixão de porta</t>
  </si>
  <si>
    <t>3.1.3</t>
  </si>
  <si>
    <t>3.1.4</t>
  </si>
  <si>
    <t>3.1.5</t>
  </si>
  <si>
    <t>3.1.6</t>
  </si>
  <si>
    <t>3.1.7</t>
  </si>
  <si>
    <t>3.1.8</t>
  </si>
  <si>
    <t>3.2.3</t>
  </si>
  <si>
    <t>3.2.4</t>
  </si>
  <si>
    <t>3.2.5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</si>
  <si>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</si>
  <si>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</si>
  <si>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</si>
  <si>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</si>
  <si>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</si>
  <si>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</si>
  <si>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</si>
  <si>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</si>
  <si>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</si>
  <si>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</si>
  <si>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</si>
  <si>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</si>
  <si>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</si>
  <si>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</t>
  </si>
  <si>
    <t>4.2.1</t>
  </si>
  <si>
    <t>4.3</t>
  </si>
  <si>
    <t>4.3.1</t>
  </si>
  <si>
    <t>4.3.2</t>
  </si>
  <si>
    <t>4.4</t>
  </si>
  <si>
    <t>4.4.1</t>
  </si>
  <si>
    <t>4.4.2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</si>
  <si>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</si>
  <si>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</si>
  <si>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</si>
  <si>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</si>
  <si>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</si>
  <si>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</si>
  <si>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</si>
  <si>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</si>
  <si>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</t>
  </si>
  <si>
    <t>5.2.1</t>
  </si>
  <si>
    <t>5.2.2</t>
  </si>
  <si>
    <t>5.2.3</t>
  </si>
  <si>
    <t>5.3</t>
  </si>
  <si>
    <t>5.3.1</t>
  </si>
  <si>
    <t>5.3.2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</si>
  <si>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</si>
  <si>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</si>
  <si>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</si>
  <si>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</si>
  <si>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</si>
  <si>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</si>
  <si>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</si>
  <si>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</si>
  <si>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</si>
  <si>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S 10047</t>
  </si>
  <si>
    <t>7.1</t>
  </si>
  <si>
    <t>7.1.1</t>
  </si>
  <si>
    <t>7.1.1.1</t>
  </si>
  <si>
    <t>7.1.2</t>
  </si>
  <si>
    <t>7.1.2.1</t>
  </si>
  <si>
    <t>7.1.2.2</t>
  </si>
  <si>
    <t>7.2</t>
  </si>
  <si>
    <t>7.2.1</t>
  </si>
  <si>
    <t>7.2.1.1</t>
  </si>
  <si>
    <t>7.2.2</t>
  </si>
  <si>
    <t>7.2.2.1</t>
  </si>
  <si>
    <t>7.2.2.2</t>
  </si>
  <si>
    <t>7.3</t>
  </si>
  <si>
    <t>7.3.1</t>
  </si>
  <si>
    <t>7.3.1.1</t>
  </si>
  <si>
    <t>7.3.1.2</t>
  </si>
  <si>
    <t>7.3.2</t>
  </si>
  <si>
    <t>7.3.2.1</t>
  </si>
  <si>
    <t>7.3.2.2</t>
  </si>
  <si>
    <t>7.3.2.3</t>
  </si>
  <si>
    <t>7.4</t>
  </si>
  <si>
    <t>7.4.1</t>
  </si>
  <si>
    <t>7.4.1.1</t>
  </si>
  <si>
    <t>7.4.1.2</t>
  </si>
  <si>
    <t>7.4.2</t>
  </si>
  <si>
    <t>7.4.2.1</t>
  </si>
  <si>
    <t>7.4.2.2</t>
  </si>
  <si>
    <t>7.4.2.3</t>
  </si>
  <si>
    <t>7.5</t>
  </si>
  <si>
    <t>7.5.1</t>
  </si>
  <si>
    <t>7.5.1.1</t>
  </si>
  <si>
    <t>7.5.1.2</t>
  </si>
  <si>
    <t>7.5.2</t>
  </si>
  <si>
    <t>7.5.2.1</t>
  </si>
  <si>
    <t>7.5.2.2</t>
  </si>
  <si>
    <t>7.5.2.3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</si>
  <si>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</si>
  <si>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</si>
  <si>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</si>
  <si>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</si>
  <si>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</si>
  <si>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</si>
  <si>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</si>
  <si>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</si>
  <si>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</si>
  <si>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</si>
  <si>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</si>
  <si>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</si>
  <si>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</si>
  <si>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</si>
  <si>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</si>
  <si>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</si>
  <si>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</si>
  <si>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</si>
  <si>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</si>
  <si>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9.6</t>
  </si>
  <si>
    <t>9.7</t>
  </si>
  <si>
    <t>90 Dias</t>
  </si>
  <si>
    <t>Prazo estimado (meses):</t>
  </si>
  <si>
    <t>REMOÇÃO DE ESQUADRIA DE MADEIRA, COM OU SEM BATENTE (1 folha de porta de entrada de 0,80x2,10m , 1 porta de divisória 0,60x1,9 m)</t>
  </si>
  <si>
    <t>FORNECIMENTO E INSTALAÇÃO DE PORTA DE DIVISÓRIA INCLUSIVE FECHADURA LIVRE-OCUPADO - 0,60X1,90M</t>
  </si>
  <si>
    <t>FORNECIMENTO E INSTALAÇÃO DE FOLHA DE PORTA DE 0,80X2,10M</t>
  </si>
  <si>
    <t>PINTURA ESMALTE ACETINADO EM MADEIRA, DUAS DEMAOS ( porta de madeira)</t>
  </si>
  <si>
    <t>S 09044</t>
  </si>
  <si>
    <t>RODOPIA EM GRANITO CINZA ANDORINHA, H = 7 CM, E= 2CM, APLICADO COM ARGAMASSA INDUSTRIALIZADA AC-I, COM ACABAMENTO BOLEADO</t>
  </si>
  <si>
    <t>INSTALAÇÕES HIDRÁULICAS</t>
  </si>
  <si>
    <t>3.5</t>
  </si>
  <si>
    <t>3.5.1</t>
  </si>
  <si>
    <t>CONSTRUPISO</t>
  </si>
  <si>
    <t xml:space="preserve">REVESTIMENTO CERÂMICO PARA PISO OU PAREDE, 45 X 45 CM, ELIANE, LINHA CARGO PLUS GRAY BOLD BRILHANTE OU SIMILAR, APLICADO COM ARGAMASSA INDUSTRIALIZADA AC-II, REJUNTADO, EXCLUSIVE REGULARIZAÇÃO DE BASE </t>
  </si>
  <si>
    <t>REMOÇÃO DE PORTA DE DIVISÓRIA 0,60X1,90M</t>
  </si>
  <si>
    <t xml:space="preserve">REMOÇÃO DE ESQUADRIA DE MADEIRA, COM OU SEM BATENTE - folha de porta de entrada sanitário feminino </t>
  </si>
  <si>
    <t>PINTURA ESMALTE ACETINADO EM MADEIRA, DUAS DEMAOS-porta de madeira</t>
  </si>
  <si>
    <t>4.5</t>
  </si>
  <si>
    <t>4.5.1</t>
  </si>
  <si>
    <t>4.2.2</t>
  </si>
  <si>
    <t>3.5.2</t>
  </si>
  <si>
    <t>3.5.3</t>
  </si>
  <si>
    <t>3.5.4</t>
  </si>
  <si>
    <t>3.5.5</t>
  </si>
  <si>
    <t>3.5.6</t>
  </si>
  <si>
    <t>3.5.7</t>
  </si>
  <si>
    <t>4.2.3</t>
  </si>
  <si>
    <t>4.2.4</t>
  </si>
  <si>
    <t>4.2.5</t>
  </si>
  <si>
    <t>4.2.6</t>
  </si>
  <si>
    <t>4.2.7</t>
  </si>
  <si>
    <t>4.2.8</t>
  </si>
  <si>
    <t>4.5.2</t>
  </si>
  <si>
    <t>4.5.3</t>
  </si>
  <si>
    <t>4.5.4</t>
  </si>
  <si>
    <t>4.5.5</t>
  </si>
  <si>
    <t>4.5.6</t>
  </si>
  <si>
    <t>4.5.7</t>
  </si>
  <si>
    <t>5.2.4</t>
  </si>
  <si>
    <t>5.2.5</t>
  </si>
  <si>
    <t>5.2.6</t>
  </si>
  <si>
    <t>3.6</t>
  </si>
  <si>
    <t>3.6.1</t>
  </si>
  <si>
    <t>3.6.2</t>
  </si>
  <si>
    <t>3.6.3</t>
  </si>
  <si>
    <t>4.6</t>
  </si>
  <si>
    <t>4.6.1</t>
  </si>
  <si>
    <t>4.6.2</t>
  </si>
  <si>
    <t>4.6.3</t>
  </si>
  <si>
    <t>5.4</t>
  </si>
  <si>
    <t>5.4.1</t>
  </si>
  <si>
    <t>5.4.2</t>
  </si>
  <si>
    <t>5.4.3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</si>
  <si>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</si>
  <si>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</si>
  <si>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</si>
  <si>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</si>
  <si>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</si>
  <si>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</si>
  <si>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</si>
  <si>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</si>
  <si>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6.5</t>
  </si>
  <si>
    <t>6.5.1</t>
  </si>
  <si>
    <t>6.5.2</t>
  </si>
  <si>
    <t>6.5.3</t>
  </si>
  <si>
    <t>6.5.4</t>
  </si>
  <si>
    <t>6.5.5</t>
  </si>
  <si>
    <t>6.5.6</t>
  </si>
  <si>
    <t>6.6</t>
  </si>
  <si>
    <t>6.6.1</t>
  </si>
  <si>
    <t>6.6.2</t>
  </si>
  <si>
    <t>6.6.3</t>
  </si>
  <si>
    <t>REGULARIZAÇÃO DE BASE PARA REVEST. DE PISOS COM ARG. TRAÇO T4, ESP. MÉDIA = 2,5CM</t>
  </si>
  <si>
    <t>ALUGUEL DE GUINCHO VELOX (FOGUETINHO)</t>
  </si>
  <si>
    <t>S 09731</t>
  </si>
  <si>
    <t xml:space="preserve">Estimativa para ser apoio para as esquadrias </t>
  </si>
  <si>
    <t>2.6</t>
  </si>
  <si>
    <t>ambientes onde tiveram mais serviços</t>
  </si>
  <si>
    <t>6.1.12</t>
  </si>
  <si>
    <t xml:space="preserve">REMOÇÃO DE ESQUADRIA DE MADEIRA, COM OU SEM BATENTE - folha de porta de entrada sanitário </t>
  </si>
  <si>
    <t>PINTURA ESMALTE ACETINADO EM MADEIRA, DUAS DEMAOS - porta de entrada em madeira</t>
  </si>
  <si>
    <t xml:space="preserve">TORNEIRA DE MESA COM FECHAMENTO AUTOMÁTICO, LINHA DECAMATIC ECO, REF.1173.C, DECA OU SIMILAR </t>
  </si>
  <si>
    <t>16/01/2021</t>
  </si>
  <si>
    <t>Preços Sinapi: Data Referência Técnica: 16/01/2021        -          Preços Orse:   Data Referência Outubro/2020</t>
  </si>
  <si>
    <t>S 12511</t>
  </si>
  <si>
    <t>COTAÇÃO ALUMAR</t>
  </si>
  <si>
    <t>S 08710</t>
  </si>
  <si>
    <t xml:space="preserve">	</t>
  </si>
  <si>
    <t>VASO SANITARIO C/CAIXA DE DESCARGA ACOPLADA, LINHA VOGUE PLUS CP525, DECA OU SIMILAR, INCLUSIVE ASSENTO ASTRA TPK OU SIMILAR, CONJ. DE FIXAÇÃO DECA SP13 OU SIMILAR, ANEL DE VEDAÇÃO E ENGATE PLÁSTICO</t>
  </si>
  <si>
    <t>5.5</t>
  </si>
  <si>
    <t>5.5.1</t>
  </si>
  <si>
    <t>BASE 85005</t>
  </si>
  <si>
    <t>I 03380</t>
  </si>
  <si>
    <t>I 03381</t>
  </si>
  <si>
    <t>S 04066</t>
  </si>
  <si>
    <t>I 2540</t>
  </si>
  <si>
    <t>I 00138</t>
  </si>
  <si>
    <t>TÉRREO</t>
  </si>
  <si>
    <t>7.1.1.2</t>
  </si>
  <si>
    <t>7.1.2.3</t>
  </si>
  <si>
    <t>7.6</t>
  </si>
  <si>
    <t>7.6.1</t>
  </si>
  <si>
    <t>7.6.1.1</t>
  </si>
  <si>
    <t>7.6.1.2</t>
  </si>
  <si>
    <t>7.6.2</t>
  </si>
  <si>
    <t>7.6.2.1</t>
  </si>
  <si>
    <t>7.6.2.2</t>
  </si>
  <si>
    <t>7.6.2.3</t>
  </si>
  <si>
    <t>Salvador, 02 de Fevereiro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</si>
</sst>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"/>
    <numFmt numFmtId="168" formatCode="0.0%"/>
    <numFmt numFmtId="169" formatCode="0.0000"/>
    <numFmt numFmtId="170" formatCode="#,"/>
    <numFmt numFmtId="171" formatCode="#,##0.00\ ;&quot; (&quot;#,##0.00\);&quot; -&quot;#\ ;@\ "/>
    <numFmt numFmtId="172" formatCode="dd/mm/yy;@"/>
    <numFmt numFmtId="173" formatCode="#,##0.00_ ;\-#,##0.00\ "/>
    <numFmt numFmtId="174" formatCode="d/m/yy\ h:mm;@"/>
    <numFmt numFmtId="175" formatCode="_-* #,##0.000_-;\-* #,##0.000_-;_-* &quot;-&quot;??_-;_-@_-"/>
    <numFmt numFmtId="176" formatCode="_-* #,##0.0000_-;\-* #,##0.0000_-;_-* &quot;-&quot;??_-;_-@_-"/>
  </numFmts>
  <fonts count="1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4"/>
      <name val="Arial Narrow"/>
      <family val="2"/>
    </font>
    <font>
      <sz val="12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b/>
      <sz val="20"/>
      <name val="Arial Narrow"/>
      <family val="2"/>
    </font>
    <font>
      <sz val="10"/>
      <name val="Mang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10"/>
      <name val="Arial Narrow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24"/>
      <name val="Arial Narrow"/>
      <family val="2"/>
    </font>
    <font>
      <sz val="8"/>
      <name val="Comic Sans MS"/>
      <family val="4"/>
    </font>
    <font>
      <b/>
      <sz val="18"/>
      <name val="Arial Narrow"/>
      <family val="2"/>
    </font>
    <font>
      <sz val="16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8"/>
      <color theme="3"/>
      <name val="Cambria"/>
      <family val="2"/>
    </font>
    <font>
      <sz val="18"/>
      <color theme="3"/>
      <name val="Cambria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4"/>
      <color rgb="FFFF0000"/>
      <name val="Arial Narrow"/>
      <family val="2"/>
    </font>
    <font>
      <sz val="14"/>
      <color rgb="FFFF0000"/>
      <name val="Arial Narrow"/>
      <family val="2"/>
    </font>
    <font>
      <b/>
      <sz val="14"/>
      <color rgb="FFFF0000"/>
      <name val="Arial"/>
      <family val="2"/>
    </font>
    <font>
      <b/>
      <sz val="9"/>
      <color rgb="FFFF0000"/>
      <name val="Arial Narrow"/>
      <family val="2"/>
    </font>
    <font>
      <sz val="9"/>
      <color rgb="FFFF0000"/>
      <name val="Arial Narrow"/>
      <family val="2"/>
    </font>
    <font>
      <sz val="14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1"/>
      <name val="Arial Narrow"/>
      <family val="2"/>
    </font>
    <font>
      <b/>
      <sz val="9"/>
      <color theme="1"/>
      <name val="Arial Narrow"/>
      <family val="2"/>
    </font>
    <font>
      <sz val="14"/>
      <color indexed="8"/>
      <name val="Arial Narrow"/>
      <family val="2"/>
    </font>
    <font>
      <sz val="12"/>
      <color theme="1"/>
      <name val="Arial Narrow"/>
      <family val="2"/>
    </font>
    <font>
      <sz val="10"/>
      <color indexed="8"/>
      <name val="Arial Narrow"/>
      <family val="2"/>
    </font>
    <font>
      <b/>
      <sz val="8"/>
      <name val="Courier"/>
      <family val="3"/>
    </font>
    <font>
      <sz val="8"/>
      <name val="Courier"/>
      <family val="3"/>
    </font>
    <font>
      <sz val="11"/>
      <name val="Calibri"/>
      <family val="2"/>
      <scheme val="minor"/>
    </font>
    <font>
      <sz val="10"/>
      <name val="Courier New"/>
      <family val="3"/>
    </font>
    <font>
      <b/>
      <sz val="14"/>
      <color rgb="FF00FF00"/>
      <name val="Arial Narrow"/>
      <family val="2"/>
    </font>
    <font>
      <sz val="10"/>
      <color rgb="FF000000"/>
      <name val="Arial Narrow"/>
      <family val="2"/>
    </font>
    <font>
      <sz val="8"/>
      <color indexed="8"/>
      <name val="Courier"/>
      <family val="3"/>
    </font>
    <font>
      <sz val="10"/>
      <name val="Comic Sans MS"/>
      <family val="4"/>
    </font>
    <font>
      <sz val="14"/>
      <name val="Comic Sans MS"/>
      <family val="4"/>
    </font>
    <font>
      <b/>
      <sz val="10"/>
      <name val="Comic Sans MS"/>
      <family val="4"/>
    </font>
    <font>
      <b/>
      <sz val="18"/>
      <name val="Arial"/>
      <family val="2"/>
    </font>
    <font>
      <sz val="14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trike/>
      <sz val="10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9"/>
      <color rgb="FF0000FF"/>
      <name val="Arial Narrow"/>
      <family val="2"/>
    </font>
    <font>
      <b/>
      <sz val="9"/>
      <color rgb="FF0000FF"/>
      <name val="Arial Narrow"/>
      <family val="2"/>
    </font>
    <font>
      <sz val="14"/>
      <color rgb="FF0000FF"/>
      <name val="Arial Narrow"/>
      <family val="2"/>
    </font>
    <font>
      <sz val="10"/>
      <color rgb="FF0000FF"/>
      <name val="Arial Narrow"/>
      <family val="2"/>
    </font>
    <font>
      <b/>
      <sz val="10"/>
      <color rgb="FF0000FF"/>
      <name val="Arial Narrow"/>
      <family val="2"/>
    </font>
    <font>
      <sz val="11"/>
      <color rgb="FFFF0000"/>
      <name val="Arial Narrow"/>
      <family val="2"/>
    </font>
    <font>
      <sz val="11"/>
      <color theme="1"/>
      <name val="Arial Narrow"/>
      <family val="2"/>
    </font>
    <font>
      <sz val="11"/>
      <color rgb="FF0000FF"/>
      <name val="Arial Narrow"/>
      <family val="2"/>
    </font>
    <font>
      <b/>
      <sz val="11"/>
      <color rgb="FF0000FF"/>
      <name val="Arial Narrow"/>
      <family val="2"/>
    </font>
    <font>
      <sz val="11"/>
      <color rgb="FF0000FF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60">
    <xf numFmtId="0" fontId="0" fillId="0" borderId="0"/>
    <xf numFmtId="0" fontId="4" fillId="0" borderId="0"/>
    <xf numFmtId="0" fontId="10" fillId="2" borderId="0" applyNumberFormat="0" applyBorder="0" applyAlignment="0" applyProtection="0"/>
    <xf numFmtId="0" fontId="55" fillId="2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55" fillId="2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55" fillId="29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55" fillId="30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55" fillId="31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55" fillId="3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55" fillId="33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55" fillId="3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55" fillId="35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55" fillId="36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55" fillId="37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55" fillId="3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56" fillId="39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56" fillId="4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56" fillId="41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56" fillId="4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56" fillId="4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56" fillId="4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57" fillId="4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58" fillId="46" borderId="65" applyNumberFormat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59" fillId="47" borderId="66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60" fillId="0" borderId="67" applyNumberFormat="0" applyFill="0" applyAlignment="0" applyProtection="0"/>
    <xf numFmtId="0" fontId="15" fillId="0" borderId="3" applyNumberFormat="0" applyFill="0" applyAlignment="0" applyProtection="0"/>
    <xf numFmtId="0" fontId="11" fillId="18" borderId="0" applyNumberFormat="0" applyBorder="0" applyAlignment="0" applyProtection="0"/>
    <xf numFmtId="0" fontId="56" fillId="48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56" fillId="49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56" fillId="50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56" fillId="5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56" fillId="52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56" fillId="53" borderId="0" applyNumberFormat="0" applyBorder="0" applyAlignment="0" applyProtection="0"/>
    <xf numFmtId="0" fontId="11" fillId="21" borderId="0" applyNumberFormat="0" applyBorder="0" applyAlignment="0" applyProtection="0"/>
    <xf numFmtId="0" fontId="16" fillId="7" borderId="1" applyNumberFormat="0" applyAlignment="0" applyProtection="0"/>
    <xf numFmtId="0" fontId="61" fillId="54" borderId="65" applyNumberFormat="0" applyAlignment="0" applyProtection="0"/>
    <xf numFmtId="0" fontId="16" fillId="7" borderId="1" applyNumberFormat="0" applyAlignment="0" applyProtection="0"/>
    <xf numFmtId="0" fontId="5" fillId="0" borderId="0" applyNumberFormat="0" applyFill="0" applyBorder="0" applyAlignment="0" applyProtection="0"/>
    <xf numFmtId="0" fontId="62" fillId="55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/>
    <xf numFmtId="165" fontId="4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4" fillId="56" borderId="0" applyNumberFormat="0" applyBorder="0" applyAlignment="0" applyProtection="0"/>
    <xf numFmtId="0" fontId="19" fillId="22" borderId="0" applyNumberFormat="0" applyBorder="0" applyAlignment="0" applyProtection="0"/>
    <xf numFmtId="0" fontId="55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39" fontId="18" fillId="0" borderId="0"/>
    <xf numFmtId="0" fontId="55" fillId="0" borderId="0"/>
    <xf numFmtId="0" fontId="10" fillId="0" borderId="0"/>
    <xf numFmtId="0" fontId="4" fillId="0" borderId="0"/>
    <xf numFmtId="0" fontId="4" fillId="0" borderId="0"/>
    <xf numFmtId="0" fontId="65" fillId="0" borderId="0"/>
    <xf numFmtId="0" fontId="3" fillId="0" borderId="0"/>
    <xf numFmtId="0" fontId="40" fillId="0" borderId="0"/>
    <xf numFmtId="0" fontId="4" fillId="0" borderId="0"/>
    <xf numFmtId="0" fontId="4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3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/>
    <xf numFmtId="0" fontId="4" fillId="0" borderId="0"/>
    <xf numFmtId="0" fontId="4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65" fillId="0" borderId="0"/>
    <xf numFmtId="0" fontId="37" fillId="0" borderId="0"/>
    <xf numFmtId="0" fontId="9" fillId="23" borderId="4" applyNumberFormat="0" applyFont="0" applyAlignment="0" applyProtection="0"/>
    <xf numFmtId="0" fontId="4" fillId="23" borderId="4" applyNumberFormat="0" applyFont="0" applyAlignment="0" applyProtection="0"/>
    <xf numFmtId="0" fontId="10" fillId="57" borderId="68" applyNumberFormat="0" applyFont="0" applyAlignment="0" applyProtection="0"/>
    <xf numFmtId="0" fontId="4" fillId="23" borderId="4" applyNumberFormat="0" applyFont="0" applyAlignment="0" applyProtection="0"/>
    <xf numFmtId="0" fontId="10" fillId="57" borderId="68" applyNumberFormat="0" applyFont="0" applyAlignment="0" applyProtection="0"/>
    <xf numFmtId="0" fontId="10" fillId="57" borderId="68" applyNumberFormat="0" applyFont="0" applyAlignment="0" applyProtection="0"/>
    <xf numFmtId="0" fontId="10" fillId="57" borderId="68" applyNumberFormat="0" applyFont="0" applyAlignment="0" applyProtection="0"/>
    <xf numFmtId="0" fontId="55" fillId="57" borderId="68" applyNumberFormat="0" applyFont="0" applyAlignment="0" applyProtection="0"/>
    <xf numFmtId="0" fontId="10" fillId="57" borderId="68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16" borderId="5" applyNumberFormat="0" applyAlignment="0" applyProtection="0"/>
    <xf numFmtId="0" fontId="66" fillId="46" borderId="69" applyNumberFormat="0" applyAlignment="0" applyProtection="0"/>
    <xf numFmtId="0" fontId="21" fillId="16" borderId="5" applyNumberFormat="0" applyAlignment="0" applyProtection="0"/>
    <xf numFmtId="170" fontId="22" fillId="0" borderId="0">
      <protection locked="0"/>
    </xf>
    <xf numFmtId="166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6" applyNumberFormat="0" applyFill="0" applyAlignment="0" applyProtection="0"/>
    <xf numFmtId="0" fontId="69" fillId="0" borderId="70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70" fillId="0" borderId="71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71" fillId="0" borderId="72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76" fillId="0" borderId="73" applyNumberFormat="0" applyFill="0" applyAlignment="0" applyProtection="0"/>
    <xf numFmtId="0" fontId="29" fillId="0" borderId="9" applyNumberFormat="0" applyFill="0" applyAlignment="0" applyProtection="0"/>
    <xf numFmtId="166" fontId="4" fillId="0" borderId="0" applyFont="0" applyFill="0" applyBorder="0" applyAlignment="0" applyProtection="0"/>
    <xf numFmtId="171" fontId="35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35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1" fillId="0" borderId="0"/>
  </cellStyleXfs>
  <cellXfs count="768">
    <xf numFmtId="0" fontId="0" fillId="0" borderId="0" xfId="0"/>
    <xf numFmtId="49" fontId="31" fillId="0" borderId="0" xfId="142" applyNumberFormat="1" applyFont="1" applyFill="1" applyBorder="1" applyAlignment="1" applyProtection="1">
      <alignment vertical="distributed" wrapText="1"/>
      <protection locked="0"/>
    </xf>
    <xf numFmtId="49" fontId="31" fillId="0" borderId="0" xfId="142" applyNumberFormat="1" applyFont="1" applyFill="1" applyBorder="1" applyAlignment="1" applyProtection="1">
      <alignment horizontal="center" wrapText="1"/>
      <protection locked="0"/>
    </xf>
    <xf numFmtId="0" fontId="42" fillId="0" borderId="0" xfId="120" applyFont="1" applyAlignment="1">
      <alignment vertical="center"/>
    </xf>
    <xf numFmtId="166" fontId="77" fillId="0" borderId="0" xfId="250" applyFont="1" applyAlignment="1"/>
    <xf numFmtId="166" fontId="31" fillId="0" borderId="0" xfId="250" applyFont="1" applyBorder="1" applyAlignment="1"/>
    <xf numFmtId="174" fontId="42" fillId="0" borderId="0" xfId="133" applyNumberFormat="1" applyFont="1" applyFill="1" applyBorder="1" applyAlignment="1" applyProtection="1">
      <alignment horizontal="center" vertical="center" wrapText="1"/>
      <protection locked="0"/>
    </xf>
    <xf numFmtId="0" fontId="77" fillId="0" borderId="0" xfId="120" applyFont="1" applyAlignment="1">
      <alignment vertical="center"/>
    </xf>
    <xf numFmtId="0" fontId="77" fillId="0" borderId="0" xfId="250" applyNumberFormat="1" applyFont="1" applyAlignment="1">
      <alignment horizontal="center" vertical="center"/>
    </xf>
    <xf numFmtId="0" fontId="77" fillId="0" borderId="0" xfId="120" applyFont="1" applyAlignment="1">
      <alignment vertical="distributed" wrapText="1"/>
    </xf>
    <xf numFmtId="166" fontId="77" fillId="0" borderId="0" xfId="250" applyFont="1" applyAlignment="1">
      <alignment horizontal="center"/>
    </xf>
    <xf numFmtId="0" fontId="8" fillId="0" borderId="0" xfId="120" applyFont="1" applyAlignment="1">
      <alignment vertical="center"/>
    </xf>
    <xf numFmtId="0" fontId="6" fillId="0" borderId="18" xfId="250" applyNumberFormat="1" applyFont="1" applyFill="1" applyBorder="1" applyAlignment="1">
      <alignment horizontal="center" vertical="center" wrapText="1"/>
    </xf>
    <xf numFmtId="0" fontId="6" fillId="0" borderId="20" xfId="250" applyNumberFormat="1" applyFont="1" applyFill="1" applyBorder="1" applyAlignment="1">
      <alignment horizontal="center" vertical="center" wrapText="1"/>
    </xf>
    <xf numFmtId="0" fontId="43" fillId="0" borderId="18" xfId="250" applyNumberFormat="1" applyFont="1" applyFill="1" applyBorder="1" applyAlignment="1">
      <alignment horizontal="center" vertical="center" wrapText="1"/>
    </xf>
    <xf numFmtId="0" fontId="32" fillId="59" borderId="21" xfId="0" applyFont="1" applyFill="1" applyBorder="1" applyAlignment="1">
      <alignment vertical="distributed" wrapText="1"/>
    </xf>
    <xf numFmtId="166" fontId="8" fillId="0" borderId="15" xfId="250" applyFont="1" applyBorder="1" applyAlignment="1"/>
    <xf numFmtId="0" fontId="80" fillId="0" borderId="0" xfId="0" applyFont="1"/>
    <xf numFmtId="0" fontId="81" fillId="0" borderId="0" xfId="0" applyFont="1"/>
    <xf numFmtId="4" fontId="30" fillId="0" borderId="22" xfId="250" applyNumberFormat="1" applyFont="1" applyFill="1" applyBorder="1" applyAlignment="1">
      <alignment horizontal="right"/>
    </xf>
    <xf numFmtId="166" fontId="30" fillId="0" borderId="22" xfId="250" applyFont="1" applyFill="1" applyBorder="1" applyAlignment="1">
      <alignment horizontal="center"/>
    </xf>
    <xf numFmtId="49" fontId="8" fillId="59" borderId="21" xfId="250" applyNumberFormat="1" applyFont="1" applyFill="1" applyBorder="1" applyAlignment="1">
      <alignment horizontal="center" vertical="center"/>
    </xf>
    <xf numFmtId="166" fontId="32" fillId="59" borderId="21" xfId="250" applyFont="1" applyFill="1" applyBorder="1" applyAlignment="1">
      <alignment horizontal="center"/>
    </xf>
    <xf numFmtId="4" fontId="32" fillId="59" borderId="21" xfId="188" applyNumberFormat="1" applyFont="1" applyFill="1" applyBorder="1" applyAlignment="1">
      <alignment horizontal="right"/>
    </xf>
    <xf numFmtId="49" fontId="8" fillId="0" borderId="22" xfId="250" applyNumberFormat="1" applyFont="1" applyFill="1" applyBorder="1" applyAlignment="1">
      <alignment horizontal="center" vertical="center"/>
    </xf>
    <xf numFmtId="0" fontId="44" fillId="0" borderId="0" xfId="0" applyFont="1"/>
    <xf numFmtId="0" fontId="46" fillId="0" borderId="15" xfId="161" applyFont="1" applyBorder="1"/>
    <xf numFmtId="0" fontId="47" fillId="0" borderId="15" xfId="161" applyFont="1" applyBorder="1"/>
    <xf numFmtId="0" fontId="47" fillId="0" borderId="23" xfId="161" applyFont="1" applyBorder="1"/>
    <xf numFmtId="0" fontId="48" fillId="0" borderId="0" xfId="161" applyFont="1"/>
    <xf numFmtId="0" fontId="47" fillId="0" borderId="0" xfId="161" applyFont="1"/>
    <xf numFmtId="0" fontId="47" fillId="0" borderId="11" xfId="161" applyFont="1" applyBorder="1"/>
    <xf numFmtId="0" fontId="49" fillId="0" borderId="0" xfId="161" applyFont="1"/>
    <xf numFmtId="0" fontId="37" fillId="0" borderId="13" xfId="161" applyFont="1" applyBorder="1"/>
    <xf numFmtId="0" fontId="37" fillId="0" borderId="0" xfId="161" applyFont="1"/>
    <xf numFmtId="0" fontId="44" fillId="0" borderId="0" xfId="161" applyFont="1"/>
    <xf numFmtId="0" fontId="44" fillId="0" borderId="11" xfId="161" applyFont="1" applyBorder="1"/>
    <xf numFmtId="49" fontId="50" fillId="0" borderId="0" xfId="142" applyNumberFormat="1" applyFont="1" applyAlignment="1" applyProtection="1">
      <alignment vertical="distributed" wrapText="1"/>
      <protection locked="0"/>
    </xf>
    <xf numFmtId="0" fontId="47" fillId="0" borderId="0" xfId="204" applyNumberFormat="1" applyFont="1" applyAlignment="1" applyProtection="1">
      <alignment vertical="center" wrapText="1"/>
      <protection locked="0"/>
    </xf>
    <xf numFmtId="0" fontId="47" fillId="0" borderId="11" xfId="204" applyNumberFormat="1" applyFont="1" applyBorder="1" applyAlignment="1" applyProtection="1">
      <alignment vertical="center" wrapText="1"/>
      <protection locked="0"/>
    </xf>
    <xf numFmtId="0" fontId="32" fillId="59" borderId="35" xfId="25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42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0" fillId="0" borderId="29" xfId="250" applyNumberFormat="1" applyFont="1" applyFill="1" applyBorder="1" applyAlignment="1">
      <alignment horizontal="center" vertical="center"/>
    </xf>
    <xf numFmtId="0" fontId="6" fillId="0" borderId="38" xfId="250" applyNumberFormat="1" applyFont="1" applyFill="1" applyBorder="1" applyAlignment="1">
      <alignment horizontal="center" vertical="center" wrapText="1"/>
    </xf>
    <xf numFmtId="10" fontId="43" fillId="0" borderId="15" xfId="179" applyNumberFormat="1" applyFont="1" applyBorder="1" applyAlignment="1">
      <alignment horizontal="center" vertical="center"/>
    </xf>
    <xf numFmtId="10" fontId="8" fillId="0" borderId="15" xfId="179" applyNumberFormat="1" applyFont="1" applyBorder="1" applyAlignment="1"/>
    <xf numFmtId="0" fontId="52" fillId="0" borderId="15" xfId="116" applyFont="1" applyFill="1" applyBorder="1"/>
    <xf numFmtId="0" fontId="52" fillId="0" borderId="23" xfId="116" applyFont="1" applyFill="1" applyBorder="1"/>
    <xf numFmtId="0" fontId="52" fillId="0" borderId="0" xfId="116" applyFont="1" applyFill="1"/>
    <xf numFmtId="0" fontId="52" fillId="0" borderId="0" xfId="116" applyFont="1" applyFill="1" applyAlignment="1">
      <alignment horizontal="center"/>
    </xf>
    <xf numFmtId="10" fontId="43" fillId="0" borderId="0" xfId="179" applyNumberFormat="1" applyFont="1" applyBorder="1" applyAlignment="1">
      <alignment horizontal="center" vertical="center"/>
    </xf>
    <xf numFmtId="10" fontId="8" fillId="0" borderId="0" xfId="179" applyNumberFormat="1" applyFont="1" applyBorder="1" applyAlignment="1"/>
    <xf numFmtId="0" fontId="52" fillId="0" borderId="0" xfId="116" applyFont="1" applyFill="1" applyBorder="1"/>
    <xf numFmtId="0" fontId="52" fillId="0" borderId="11" xfId="116" applyFont="1" applyFill="1" applyBorder="1"/>
    <xf numFmtId="0" fontId="8" fillId="0" borderId="0" xfId="179" applyNumberFormat="1" applyFont="1" applyBorder="1" applyAlignment="1">
      <alignment vertical="distributed"/>
    </xf>
    <xf numFmtId="0" fontId="52" fillId="0" borderId="0" xfId="116" applyNumberFormat="1" applyFont="1" applyFill="1" applyBorder="1" applyAlignment="1">
      <alignment vertical="distributed"/>
    </xf>
    <xf numFmtId="0" fontId="52" fillId="0" borderId="11" xfId="116" applyNumberFormat="1" applyFont="1" applyFill="1" applyBorder="1" applyAlignment="1">
      <alignment vertical="distributed"/>
    </xf>
    <xf numFmtId="0" fontId="52" fillId="0" borderId="0" xfId="116" applyNumberFormat="1" applyFont="1" applyFill="1" applyAlignment="1">
      <alignment vertical="distributed"/>
    </xf>
    <xf numFmtId="0" fontId="52" fillId="0" borderId="0" xfId="116" applyNumberFormat="1" applyFont="1" applyFill="1" applyAlignment="1">
      <alignment horizontal="center" vertical="distributed"/>
    </xf>
    <xf numFmtId="0" fontId="78" fillId="0" borderId="0" xfId="122" applyFont="1" applyBorder="1" applyAlignment="1">
      <alignment vertical="distributed" wrapText="1"/>
    </xf>
    <xf numFmtId="0" fontId="30" fillId="0" borderId="43" xfId="250" applyNumberFormat="1" applyFont="1" applyFill="1" applyBorder="1" applyAlignment="1">
      <alignment horizontal="center" vertical="center"/>
    </xf>
    <xf numFmtId="166" fontId="80" fillId="0" borderId="0" xfId="250" applyFont="1"/>
    <xf numFmtId="4" fontId="83" fillId="59" borderId="21" xfId="250" applyNumberFormat="1" applyFont="1" applyFill="1" applyBorder="1" applyAlignment="1">
      <alignment horizontal="right"/>
    </xf>
    <xf numFmtId="0" fontId="3" fillId="0" borderId="0" xfId="0" applyFont="1"/>
    <xf numFmtId="166" fontId="3" fillId="0" borderId="0" xfId="250" applyFont="1"/>
    <xf numFmtId="49" fontId="50" fillId="0" borderId="13" xfId="142" applyNumberFormat="1" applyFont="1" applyBorder="1" applyAlignment="1" applyProtection="1">
      <alignment horizontal="left" vertical="center" wrapText="1"/>
      <protection locked="0"/>
    </xf>
    <xf numFmtId="49" fontId="50" fillId="0" borderId="0" xfId="142" applyNumberFormat="1" applyFont="1" applyAlignment="1" applyProtection="1">
      <alignment horizontal="left" vertical="center" wrapText="1"/>
      <protection locked="0"/>
    </xf>
    <xf numFmtId="49" fontId="54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54" fillId="0" borderId="0" xfId="142" applyNumberFormat="1" applyFont="1" applyFill="1" applyBorder="1" applyAlignment="1" applyProtection="1">
      <alignment horizontal="left" vertical="center" wrapText="1"/>
      <protection locked="0"/>
    </xf>
    <xf numFmtId="0" fontId="86" fillId="0" borderId="0" xfId="120" applyFont="1" applyAlignment="1">
      <alignment vertical="center"/>
    </xf>
    <xf numFmtId="166" fontId="82" fillId="59" borderId="21" xfId="250" applyFont="1" applyFill="1" applyBorder="1" applyAlignment="1">
      <alignment horizontal="center"/>
    </xf>
    <xf numFmtId="4" fontId="83" fillId="0" borderId="0" xfId="250" applyNumberFormat="1" applyFont="1" applyFill="1" applyBorder="1" applyAlignment="1">
      <alignment horizontal="right"/>
    </xf>
    <xf numFmtId="0" fontId="86" fillId="0" borderId="0" xfId="0" applyFont="1" applyAlignment="1">
      <alignment vertical="center"/>
    </xf>
    <xf numFmtId="4" fontId="83" fillId="0" borderId="22" xfId="250" applyNumberFormat="1" applyFont="1" applyFill="1" applyBorder="1" applyAlignment="1">
      <alignment horizontal="right"/>
    </xf>
    <xf numFmtId="0" fontId="86" fillId="0" borderId="0" xfId="0" applyFont="1" applyBorder="1" applyAlignment="1">
      <alignment vertical="center"/>
    </xf>
    <xf numFmtId="49" fontId="77" fillId="59" borderId="21" xfId="250" applyNumberFormat="1" applyFont="1" applyFill="1" applyBorder="1" applyAlignment="1">
      <alignment horizontal="center" vertical="center"/>
    </xf>
    <xf numFmtId="0" fontId="85" fillId="0" borderId="0" xfId="0" applyFont="1" applyFill="1" applyBorder="1" applyAlignment="1">
      <alignment vertical="center"/>
    </xf>
    <xf numFmtId="0" fontId="85" fillId="0" borderId="0" xfId="0" applyFont="1" applyFill="1" applyAlignment="1">
      <alignment vertical="center"/>
    </xf>
    <xf numFmtId="49" fontId="77" fillId="0" borderId="22" xfId="250" applyNumberFormat="1" applyFont="1" applyFill="1" applyBorder="1" applyAlignment="1">
      <alignment horizontal="center" vertical="center"/>
    </xf>
    <xf numFmtId="166" fontId="83" fillId="59" borderId="21" xfId="250" applyFont="1" applyFill="1" applyBorder="1" applyAlignment="1">
      <alignment horizontal="center"/>
    </xf>
    <xf numFmtId="0" fontId="85" fillId="0" borderId="0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82" fillId="59" borderId="18" xfId="120" applyFont="1" applyFill="1" applyBorder="1" applyAlignment="1">
      <alignment vertical="distributed"/>
    </xf>
    <xf numFmtId="166" fontId="82" fillId="59" borderId="18" xfId="250" applyFont="1" applyFill="1" applyBorder="1" applyAlignment="1">
      <alignment horizontal="center"/>
    </xf>
    <xf numFmtId="0" fontId="85" fillId="0" borderId="0" xfId="120" applyFont="1" applyAlignment="1">
      <alignment vertical="center"/>
    </xf>
    <xf numFmtId="0" fontId="77" fillId="58" borderId="16" xfId="250" applyNumberFormat="1" applyFont="1" applyFill="1" applyBorder="1" applyAlignment="1">
      <alignment horizontal="right" vertical="center"/>
    </xf>
    <xf numFmtId="0" fontId="77" fillId="0" borderId="16" xfId="250" applyNumberFormat="1" applyFont="1" applyBorder="1" applyAlignment="1">
      <alignment vertical="distributed"/>
    </xf>
    <xf numFmtId="0" fontId="77" fillId="0" borderId="16" xfId="250" applyNumberFormat="1" applyFont="1" applyBorder="1" applyAlignment="1">
      <alignment horizontal="center"/>
    </xf>
    <xf numFmtId="43" fontId="86" fillId="0" borderId="0" xfId="120" applyNumberFormat="1" applyFont="1" applyAlignment="1">
      <alignment vertical="center"/>
    </xf>
    <xf numFmtId="0" fontId="79" fillId="59" borderId="18" xfId="250" applyNumberFormat="1" applyFont="1" applyFill="1" applyBorder="1" applyAlignment="1">
      <alignment horizontal="right" vertical="center"/>
    </xf>
    <xf numFmtId="0" fontId="79" fillId="59" borderId="18" xfId="250" applyNumberFormat="1" applyFont="1" applyFill="1" applyBorder="1" applyAlignment="1">
      <alignment vertical="distributed"/>
    </xf>
    <xf numFmtId="0" fontId="79" fillId="59" borderId="18" xfId="250" applyNumberFormat="1" applyFont="1" applyFill="1" applyBorder="1" applyAlignment="1">
      <alignment horizontal="center"/>
    </xf>
    <xf numFmtId="0" fontId="82" fillId="0" borderId="15" xfId="355" applyNumberFormat="1" applyFont="1" applyBorder="1" applyAlignment="1">
      <alignment horizontal="left" vertical="center"/>
    </xf>
    <xf numFmtId="0" fontId="78" fillId="0" borderId="0" xfId="120" applyFont="1" applyAlignment="1">
      <alignment vertical="distributed" wrapText="1"/>
    </xf>
    <xf numFmtId="166" fontId="33" fillId="0" borderId="15" xfId="250" applyFont="1" applyFill="1" applyBorder="1" applyAlignment="1" applyProtection="1">
      <alignment horizontal="center" vertical="center" wrapText="1"/>
      <protection locked="0"/>
    </xf>
    <xf numFmtId="166" fontId="6" fillId="0" borderId="0" xfId="250" applyFont="1" applyFill="1" applyBorder="1" applyAlignment="1" applyProtection="1">
      <alignment horizontal="center" vertical="center" wrapText="1"/>
      <protection locked="0"/>
    </xf>
    <xf numFmtId="166" fontId="6" fillId="0" borderId="0" xfId="250" applyFont="1" applyFill="1" applyBorder="1" applyAlignment="1" applyProtection="1">
      <alignment horizontal="center" wrapText="1"/>
      <protection locked="0"/>
    </xf>
    <xf numFmtId="166" fontId="31" fillId="0" borderId="10" xfId="250" applyFont="1" applyBorder="1" applyAlignment="1"/>
    <xf numFmtId="49" fontId="77" fillId="0" borderId="34" xfId="250" applyNumberFormat="1" applyFont="1" applyFill="1" applyBorder="1" applyAlignment="1">
      <alignment horizontal="center" vertical="center"/>
    </xf>
    <xf numFmtId="166" fontId="83" fillId="0" borderId="34" xfId="250" applyFont="1" applyFill="1" applyBorder="1" applyAlignment="1">
      <alignment horizontal="center"/>
    </xf>
    <xf numFmtId="4" fontId="83" fillId="0" borderId="34" xfId="250" applyNumberFormat="1" applyFont="1" applyFill="1" applyBorder="1" applyAlignment="1">
      <alignment horizontal="right"/>
    </xf>
    <xf numFmtId="49" fontId="8" fillId="0" borderId="34" xfId="250" applyNumberFormat="1" applyFont="1" applyFill="1" applyBorder="1" applyAlignment="1">
      <alignment horizontal="center" vertical="center"/>
    </xf>
    <xf numFmtId="0" fontId="30" fillId="0" borderId="34" xfId="0" applyFont="1" applyFill="1" applyBorder="1" applyAlignment="1">
      <alignment vertical="distributed" wrapText="1"/>
    </xf>
    <xf numFmtId="166" fontId="30" fillId="0" borderId="34" xfId="250" applyFont="1" applyFill="1" applyBorder="1" applyAlignment="1">
      <alignment horizontal="center"/>
    </xf>
    <xf numFmtId="4" fontId="30" fillId="0" borderId="34" xfId="250" applyNumberFormat="1" applyFont="1" applyFill="1" applyBorder="1" applyAlignment="1">
      <alignment horizontal="right"/>
    </xf>
    <xf numFmtId="0" fontId="32" fillId="0" borderId="34" xfId="0" applyFont="1" applyFill="1" applyBorder="1" applyAlignment="1">
      <alignment vertical="distributed" wrapText="1"/>
    </xf>
    <xf numFmtId="0" fontId="32" fillId="0" borderId="22" xfId="0" applyFont="1" applyFill="1" applyBorder="1" applyAlignment="1">
      <alignment vertical="distributed" wrapText="1"/>
    </xf>
    <xf numFmtId="166" fontId="37" fillId="0" borderId="0" xfId="250" applyFont="1"/>
    <xf numFmtId="49" fontId="31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31" fillId="0" borderId="0" xfId="142" applyNumberFormat="1" applyFont="1" applyFill="1" applyBorder="1" applyAlignment="1" applyProtection="1">
      <alignment horizontal="left" vertical="center" wrapText="1"/>
      <protection locked="0"/>
    </xf>
    <xf numFmtId="49" fontId="88" fillId="0" borderId="34" xfId="250" applyNumberFormat="1" applyFont="1" applyFill="1" applyBorder="1" applyAlignment="1">
      <alignment horizontal="center" vertical="center"/>
    </xf>
    <xf numFmtId="0" fontId="89" fillId="0" borderId="34" xfId="0" applyFont="1" applyFill="1" applyBorder="1" applyAlignment="1">
      <alignment vertical="distributed" wrapText="1"/>
    </xf>
    <xf numFmtId="166" fontId="87" fillId="0" borderId="34" xfId="250" applyFont="1" applyFill="1" applyBorder="1" applyAlignment="1">
      <alignment horizontal="center"/>
    </xf>
    <xf numFmtId="0" fontId="90" fillId="0" borderId="0" xfId="0" applyFont="1" applyFill="1" applyBorder="1" applyAlignment="1">
      <alignment vertical="center"/>
    </xf>
    <xf numFmtId="0" fontId="90" fillId="0" borderId="0" xfId="0" applyFont="1" applyFill="1" applyAlignment="1">
      <alignment vertical="center"/>
    </xf>
    <xf numFmtId="0" fontId="87" fillId="0" borderId="34" xfId="0" applyFont="1" applyFill="1" applyBorder="1" applyAlignment="1">
      <alignment vertical="distributed" wrapText="1"/>
    </xf>
    <xf numFmtId="0" fontId="32" fillId="62" borderId="18" xfId="0" applyFont="1" applyFill="1" applyBorder="1" applyAlignment="1">
      <alignment vertical="distributed"/>
    </xf>
    <xf numFmtId="49" fontId="8" fillId="0" borderId="24" xfId="250" applyNumberFormat="1" applyFont="1" applyFill="1" applyBorder="1" applyAlignment="1">
      <alignment horizontal="center" vertical="center"/>
    </xf>
    <xf numFmtId="0" fontId="30" fillId="0" borderId="24" xfId="120" applyFont="1" applyBorder="1" applyAlignment="1">
      <alignment vertical="distributed" wrapText="1"/>
    </xf>
    <xf numFmtId="166" fontId="30" fillId="0" borderId="24" xfId="250" applyFont="1" applyFill="1" applyBorder="1" applyAlignment="1">
      <alignment horizontal="center"/>
    </xf>
    <xf numFmtId="0" fontId="8" fillId="0" borderId="22" xfId="250" applyNumberFormat="1" applyFont="1" applyFill="1" applyBorder="1" applyAlignment="1">
      <alignment horizontal="center" vertical="center"/>
    </xf>
    <xf numFmtId="0" fontId="30" fillId="0" borderId="22" xfId="120" applyFont="1" applyBorder="1" applyAlignment="1">
      <alignment vertical="distributed" wrapText="1"/>
    </xf>
    <xf numFmtId="166" fontId="91" fillId="0" borderId="24" xfId="250" applyFont="1" applyFill="1" applyBorder="1" applyAlignment="1">
      <alignment horizontal="center"/>
    </xf>
    <xf numFmtId="166" fontId="91" fillId="0" borderId="22" xfId="250" applyFont="1" applyFill="1" applyBorder="1" applyAlignment="1">
      <alignment horizontal="center"/>
    </xf>
    <xf numFmtId="0" fontId="91" fillId="0" borderId="22" xfId="0" applyFont="1" applyBorder="1" applyAlignment="1">
      <alignment vertical="distributed" wrapText="1"/>
    </xf>
    <xf numFmtId="0" fontId="8" fillId="0" borderId="74" xfId="250" applyNumberFormat="1" applyFont="1" applyFill="1" applyBorder="1" applyAlignment="1">
      <alignment horizontal="center" vertical="center"/>
    </xf>
    <xf numFmtId="0" fontId="30" fillId="0" borderId="34" xfId="120" applyFont="1" applyBorder="1" applyAlignment="1">
      <alignment vertical="distributed"/>
    </xf>
    <xf numFmtId="166" fontId="91" fillId="0" borderId="34" xfId="250" applyFont="1" applyFill="1" applyBorder="1" applyAlignment="1">
      <alignment horizontal="center"/>
    </xf>
    <xf numFmtId="0" fontId="30" fillId="0" borderId="22" xfId="0" applyFont="1" applyBorder="1" applyAlignment="1">
      <alignment vertical="distributed" wrapText="1"/>
    </xf>
    <xf numFmtId="0" fontId="32" fillId="62" borderId="38" xfId="250" applyNumberFormat="1" applyFont="1" applyFill="1" applyBorder="1" applyAlignment="1">
      <alignment horizontal="center" vertical="center"/>
    </xf>
    <xf numFmtId="0" fontId="32" fillId="62" borderId="18" xfId="120" applyFont="1" applyFill="1" applyBorder="1" applyAlignment="1">
      <alignment vertical="distributed" wrapText="1"/>
    </xf>
    <xf numFmtId="166" fontId="32" fillId="62" borderId="18" xfId="250" applyFont="1" applyFill="1" applyBorder="1" applyAlignment="1">
      <alignment horizontal="center"/>
    </xf>
    <xf numFmtId="166" fontId="32" fillId="62" borderId="18" xfId="250" applyFont="1" applyFill="1" applyBorder="1" applyAlignment="1">
      <alignment horizontal="right"/>
    </xf>
    <xf numFmtId="4" fontId="32" fillId="62" borderId="18" xfId="188" applyNumberFormat="1" applyFont="1" applyFill="1" applyBorder="1" applyAlignment="1">
      <alignment horizontal="right"/>
    </xf>
    <xf numFmtId="10" fontId="42" fillId="0" borderId="0" xfId="179" applyNumberFormat="1" applyFont="1" applyFill="1" applyBorder="1" applyAlignment="1">
      <alignment horizontal="center"/>
    </xf>
    <xf numFmtId="4" fontId="92" fillId="0" borderId="0" xfId="93" applyNumberFormat="1" applyFont="1" applyAlignment="1">
      <alignment vertical="center"/>
    </xf>
    <xf numFmtId="4" fontId="92" fillId="0" borderId="0" xfId="120" applyNumberFormat="1" applyFont="1" applyAlignment="1">
      <alignment vertical="center"/>
    </xf>
    <xf numFmtId="4" fontId="86" fillId="0" borderId="0" xfId="120" applyNumberFormat="1" applyFont="1" applyAlignment="1">
      <alignment vertical="center"/>
    </xf>
    <xf numFmtId="4" fontId="86" fillId="0" borderId="0" xfId="250" applyNumberFormat="1" applyFont="1" applyAlignment="1">
      <alignment horizontal="center" vertical="center"/>
    </xf>
    <xf numFmtId="0" fontId="30" fillId="0" borderId="36" xfId="250" applyNumberFormat="1" applyFont="1" applyFill="1" applyBorder="1" applyAlignment="1">
      <alignment horizontal="center" vertical="center"/>
    </xf>
    <xf numFmtId="4" fontId="30" fillId="0" borderId="24" xfId="188" applyNumberFormat="1" applyFont="1" applyFill="1" applyBorder="1" applyAlignment="1">
      <alignment horizontal="right"/>
    </xf>
    <xf numFmtId="4" fontId="92" fillId="0" borderId="0" xfId="120" applyNumberFormat="1" applyFont="1" applyAlignment="1">
      <alignment horizontal="right" vertical="center"/>
    </xf>
    <xf numFmtId="4" fontId="87" fillId="0" borderId="0" xfId="120" applyNumberFormat="1" applyFont="1" applyAlignment="1">
      <alignment vertical="center"/>
    </xf>
    <xf numFmtId="4" fontId="87" fillId="0" borderId="0" xfId="250" applyNumberFormat="1" applyFont="1" applyAlignment="1">
      <alignment horizontal="center" vertical="center"/>
    </xf>
    <xf numFmtId="4" fontId="30" fillId="0" borderId="22" xfId="188" applyNumberFormat="1" applyFont="1" applyFill="1" applyBorder="1" applyAlignment="1">
      <alignment horizontal="right"/>
    </xf>
    <xf numFmtId="166" fontId="83" fillId="0" borderId="22" xfId="250" applyFont="1" applyFill="1" applyBorder="1" applyAlignment="1">
      <alignment horizontal="right"/>
    </xf>
    <xf numFmtId="49" fontId="93" fillId="0" borderId="24" xfId="250" applyNumberFormat="1" applyFont="1" applyFill="1" applyBorder="1" applyAlignment="1">
      <alignment horizontal="center" vertical="center"/>
    </xf>
    <xf numFmtId="49" fontId="93" fillId="0" borderId="22" xfId="250" applyNumberFormat="1" applyFont="1" applyFill="1" applyBorder="1" applyAlignment="1">
      <alignment horizontal="center" vertical="center"/>
    </xf>
    <xf numFmtId="49" fontId="43" fillId="59" borderId="21" xfId="250" applyNumberFormat="1" applyFont="1" applyFill="1" applyBorder="1" applyAlignment="1">
      <alignment horizontal="center" vertical="center"/>
    </xf>
    <xf numFmtId="0" fontId="32" fillId="59" borderId="38" xfId="250" applyNumberFormat="1" applyFont="1" applyFill="1" applyBorder="1" applyAlignment="1">
      <alignment horizontal="center" vertical="center"/>
    </xf>
    <xf numFmtId="0" fontId="8" fillId="0" borderId="45" xfId="250" applyNumberFormat="1" applyFont="1" applyBorder="1" applyAlignment="1">
      <alignment horizontal="right" vertical="center"/>
    </xf>
    <xf numFmtId="0" fontId="43" fillId="59" borderId="38" xfId="250" applyNumberFormat="1" applyFont="1" applyFill="1" applyBorder="1" applyAlignment="1">
      <alignment horizontal="right" vertical="center"/>
    </xf>
    <xf numFmtId="0" fontId="32" fillId="0" borderId="15" xfId="355" applyNumberFormat="1" applyFont="1" applyBorder="1" applyAlignment="1">
      <alignment horizontal="left" vertical="center"/>
    </xf>
    <xf numFmtId="0" fontId="8" fillId="0" borderId="0" xfId="250" applyNumberFormat="1" applyFont="1" applyAlignment="1">
      <alignment horizontal="center" vertical="center"/>
    </xf>
    <xf numFmtId="166" fontId="6" fillId="0" borderId="23" xfId="250" applyFont="1" applyBorder="1" applyAlignment="1"/>
    <xf numFmtId="166" fontId="6" fillId="0" borderId="11" xfId="250" applyFont="1" applyBorder="1" applyAlignment="1"/>
    <xf numFmtId="166" fontId="6" fillId="0" borderId="12" xfId="250" applyFont="1" applyBorder="1" applyAlignment="1"/>
    <xf numFmtId="166" fontId="6" fillId="0" borderId="19" xfId="250" applyFont="1" applyFill="1" applyBorder="1" applyAlignment="1">
      <alignment horizontal="center" vertical="center" wrapText="1"/>
    </xf>
    <xf numFmtId="166" fontId="32" fillId="62" borderId="19" xfId="250" applyFont="1" applyFill="1" applyBorder="1" applyAlignment="1">
      <alignment horizontal="right"/>
    </xf>
    <xf numFmtId="166" fontId="30" fillId="0" borderId="25" xfId="250" applyFont="1" applyFill="1" applyBorder="1" applyAlignment="1">
      <alignment horizontal="right"/>
    </xf>
    <xf numFmtId="166" fontId="30" fillId="0" borderId="28" xfId="250" applyFont="1" applyFill="1" applyBorder="1" applyAlignment="1">
      <alignment horizontal="right"/>
    </xf>
    <xf numFmtId="166" fontId="32" fillId="59" borderId="27" xfId="250" applyFont="1" applyFill="1" applyBorder="1" applyAlignment="1">
      <alignment horizontal="right"/>
    </xf>
    <xf numFmtId="49" fontId="8" fillId="0" borderId="26" xfId="250" applyNumberFormat="1" applyFont="1" applyFill="1" applyBorder="1" applyAlignment="1">
      <alignment horizontal="center" vertical="center"/>
    </xf>
    <xf numFmtId="166" fontId="6" fillId="0" borderId="18" xfId="250" applyFont="1" applyFill="1" applyBorder="1" applyAlignment="1">
      <alignment horizontal="center" vertical="center" wrapText="1"/>
    </xf>
    <xf numFmtId="166" fontId="82" fillId="59" borderId="21" xfId="250" applyFont="1" applyFill="1" applyBorder="1" applyAlignment="1">
      <alignment horizontal="right"/>
    </xf>
    <xf numFmtId="166" fontId="32" fillId="59" borderId="21" xfId="250" applyFont="1" applyFill="1" applyBorder="1" applyAlignment="1">
      <alignment horizontal="right" wrapText="1"/>
    </xf>
    <xf numFmtId="166" fontId="30" fillId="0" borderId="34" xfId="250" applyFont="1" applyFill="1" applyBorder="1" applyAlignment="1">
      <alignment horizontal="right"/>
    </xf>
    <xf numFmtId="166" fontId="30" fillId="0" borderId="22" xfId="250" applyFont="1" applyFill="1" applyBorder="1" applyAlignment="1">
      <alignment horizontal="right"/>
    </xf>
    <xf numFmtId="166" fontId="83" fillId="59" borderId="21" xfId="250" applyFont="1" applyFill="1" applyBorder="1" applyAlignment="1">
      <alignment horizontal="right"/>
    </xf>
    <xf numFmtId="166" fontId="78" fillId="0" borderId="0" xfId="250" applyFont="1" applyBorder="1" applyAlignment="1">
      <alignment vertical="distributed" wrapText="1"/>
    </xf>
    <xf numFmtId="166" fontId="30" fillId="0" borderId="24" xfId="250" applyFont="1" applyFill="1" applyBorder="1" applyAlignment="1">
      <alignment horizontal="right"/>
    </xf>
    <xf numFmtId="0" fontId="30" fillId="0" borderId="24" xfId="0" applyFont="1" applyBorder="1" applyAlignment="1">
      <alignment vertical="distributed"/>
    </xf>
    <xf numFmtId="0" fontId="30" fillId="0" borderId="16" xfId="0" applyFont="1" applyBorder="1" applyAlignment="1">
      <alignment vertical="distributed"/>
    </xf>
    <xf numFmtId="0" fontId="30" fillId="0" borderId="22" xfId="120" applyFont="1" applyBorder="1" applyAlignment="1">
      <alignment vertical="distributed"/>
    </xf>
    <xf numFmtId="49" fontId="8" fillId="0" borderId="74" xfId="250" applyNumberFormat="1" applyFont="1" applyFill="1" applyBorder="1" applyAlignment="1">
      <alignment horizontal="center" vertical="center"/>
    </xf>
    <xf numFmtId="0" fontId="94" fillId="59" borderId="22" xfId="167" applyFont="1" applyFill="1" applyBorder="1" applyAlignment="1">
      <alignment horizontal="center" vertical="center" wrapText="1"/>
    </xf>
    <xf numFmtId="0" fontId="94" fillId="59" borderId="22" xfId="167" applyFont="1" applyFill="1" applyBorder="1" applyAlignment="1">
      <alignment horizontal="left" vertical="center" wrapText="1"/>
    </xf>
    <xf numFmtId="0" fontId="95" fillId="0" borderId="22" xfId="167" applyFont="1" applyBorder="1" applyAlignment="1">
      <alignment horizontal="center" vertical="center" wrapText="1"/>
    </xf>
    <xf numFmtId="0" fontId="95" fillId="0" borderId="22" xfId="167" applyFont="1" applyBorder="1" applyAlignment="1">
      <alignment horizontal="left" vertical="center" wrapText="1"/>
    </xf>
    <xf numFmtId="175" fontId="95" fillId="0" borderId="22" xfId="310" applyNumberFormat="1" applyFont="1" applyBorder="1" applyAlignment="1">
      <alignment horizontal="center" vertical="center" wrapText="1"/>
    </xf>
    <xf numFmtId="43" fontId="95" fillId="0" borderId="22" xfId="310" applyFont="1" applyFill="1" applyBorder="1" applyAlignment="1">
      <alignment horizontal="center" vertical="center" wrapText="1"/>
    </xf>
    <xf numFmtId="43" fontId="95" fillId="0" borderId="22" xfId="310" applyFont="1" applyBorder="1" applyAlignment="1">
      <alignment horizontal="center" vertical="center" wrapText="1"/>
    </xf>
    <xf numFmtId="0" fontId="3" fillId="0" borderId="0" xfId="116" applyFont="1"/>
    <xf numFmtId="43" fontId="96" fillId="0" borderId="0" xfId="310" applyFont="1"/>
    <xf numFmtId="43" fontId="94" fillId="0" borderId="22" xfId="310" applyFont="1" applyBorder="1" applyAlignment="1">
      <alignment horizontal="center" vertical="center" wrapText="1"/>
    </xf>
    <xf numFmtId="166" fontId="95" fillId="0" borderId="22" xfId="250" applyFont="1" applyFill="1" applyBorder="1" applyAlignment="1">
      <alignment horizontal="center" vertical="center" wrapText="1"/>
    </xf>
    <xf numFmtId="0" fontId="97" fillId="0" borderId="0" xfId="0" applyFont="1"/>
    <xf numFmtId="0" fontId="6" fillId="0" borderId="0" xfId="122" applyFont="1" applyBorder="1" applyAlignment="1">
      <alignment vertical="distributed" wrapText="1"/>
    </xf>
    <xf numFmtId="166" fontId="31" fillId="0" borderId="34" xfId="250" applyFont="1" applyFill="1" applyBorder="1" applyAlignment="1">
      <alignment horizontal="center"/>
    </xf>
    <xf numFmtId="0" fontId="30" fillId="0" borderId="34" xfId="120" applyFont="1" applyBorder="1" applyAlignment="1">
      <alignment vertical="distributed" wrapText="1"/>
    </xf>
    <xf numFmtId="0" fontId="95" fillId="26" borderId="22" xfId="168" applyFont="1" applyFill="1" applyBorder="1" applyAlignment="1">
      <alignment horizontal="center" vertical="center" wrapText="1"/>
    </xf>
    <xf numFmtId="0" fontId="95" fillId="26" borderId="22" xfId="168" applyFont="1" applyFill="1" applyBorder="1" applyAlignment="1">
      <alignment horizontal="left" vertical="center" wrapText="1"/>
    </xf>
    <xf numFmtId="0" fontId="3" fillId="0" borderId="22" xfId="0" applyFont="1" applyBorder="1"/>
    <xf numFmtId="176" fontId="95" fillId="0" borderId="22" xfId="310" applyNumberFormat="1" applyFont="1" applyBorder="1" applyAlignment="1">
      <alignment horizontal="center" vertical="center" wrapText="1"/>
    </xf>
    <xf numFmtId="166" fontId="95" fillId="0" borderId="22" xfId="250" applyFont="1" applyBorder="1" applyAlignment="1">
      <alignment horizontal="center" vertical="center" wrapText="1"/>
    </xf>
    <xf numFmtId="0" fontId="45" fillId="0" borderId="0" xfId="0" applyFont="1" applyAlignment="1">
      <alignment wrapText="1"/>
    </xf>
    <xf numFmtId="0" fontId="45" fillId="0" borderId="0" xfId="0" applyFont="1" applyAlignment="1">
      <alignment horizontal="center"/>
    </xf>
    <xf numFmtId="0" fontId="94" fillId="0" borderId="22" xfId="167" applyFont="1" applyBorder="1" applyAlignment="1">
      <alignment horizontal="center" vertical="center" wrapText="1"/>
    </xf>
    <xf numFmtId="166" fontId="94" fillId="0" borderId="22" xfId="250" applyFont="1" applyBorder="1" applyAlignment="1">
      <alignment horizontal="center" vertical="center" wrapText="1"/>
    </xf>
    <xf numFmtId="166" fontId="95" fillId="0" borderId="22" xfId="250" applyFont="1" applyFill="1" applyBorder="1" applyAlignment="1">
      <alignment horizontal="left" vertical="center" wrapText="1"/>
    </xf>
    <xf numFmtId="0" fontId="95" fillId="0" borderId="22" xfId="167" applyFont="1" applyFill="1" applyBorder="1" applyAlignment="1">
      <alignment horizontal="center" vertical="center" wrapText="1"/>
    </xf>
    <xf numFmtId="166" fontId="3" fillId="0" borderId="0" xfId="250" applyFont="1" applyFill="1"/>
    <xf numFmtId="0" fontId="3" fillId="0" borderId="0" xfId="0" applyFont="1" applyAlignment="1">
      <alignment horizontal="center"/>
    </xf>
    <xf numFmtId="0" fontId="91" fillId="0" borderId="22" xfId="120" applyFont="1" applyBorder="1" applyAlignment="1">
      <alignment horizontal="left" vertical="center" wrapText="1"/>
    </xf>
    <xf numFmtId="0" fontId="93" fillId="0" borderId="22" xfId="250" applyNumberFormat="1" applyFont="1" applyFill="1" applyBorder="1" applyAlignment="1">
      <alignment horizontal="center" vertical="center" wrapText="1"/>
    </xf>
    <xf numFmtId="0" fontId="99" fillId="0" borderId="22" xfId="0" applyFont="1" applyBorder="1" applyAlignment="1">
      <alignment horizontal="center" vertical="center" wrapText="1"/>
    </xf>
    <xf numFmtId="0" fontId="91" fillId="0" borderId="22" xfId="0" applyFont="1" applyBorder="1" applyAlignment="1">
      <alignment horizontal="left" vertical="center" wrapText="1"/>
    </xf>
    <xf numFmtId="0" fontId="8" fillId="0" borderId="22" xfId="250" applyNumberFormat="1" applyFont="1" applyFill="1" applyBorder="1" applyAlignment="1">
      <alignment horizontal="center" vertical="center" wrapText="1"/>
    </xf>
    <xf numFmtId="166" fontId="32" fillId="59" borderId="19" xfId="250" applyFont="1" applyFill="1" applyBorder="1" applyAlignment="1">
      <alignment horizontal="right"/>
    </xf>
    <xf numFmtId="166" fontId="32" fillId="0" borderId="17" xfId="250" applyFont="1" applyBorder="1" applyAlignment="1"/>
    <xf numFmtId="166" fontId="32" fillId="59" borderId="19" xfId="250" applyFont="1" applyFill="1" applyBorder="1" applyAlignment="1"/>
    <xf numFmtId="166" fontId="32" fillId="59" borderId="18" xfId="250" applyFont="1" applyFill="1" applyBorder="1" applyAlignment="1">
      <alignment horizontal="right"/>
    </xf>
    <xf numFmtId="0" fontId="7" fillId="0" borderId="0" xfId="120" applyFont="1" applyAlignment="1">
      <alignment vertical="center"/>
    </xf>
    <xf numFmtId="166" fontId="32" fillId="0" borderId="16" xfId="250" applyFont="1" applyFill="1" applyBorder="1" applyAlignment="1">
      <alignment horizontal="center"/>
    </xf>
    <xf numFmtId="10" fontId="32" fillId="0" borderId="16" xfId="179" applyNumberFormat="1" applyFont="1" applyBorder="1" applyAlignment="1">
      <alignment horizontal="center"/>
    </xf>
    <xf numFmtId="166" fontId="33" fillId="59" borderId="18" xfId="250" applyFont="1" applyFill="1" applyBorder="1" applyAlignment="1">
      <alignment horizontal="center"/>
    </xf>
    <xf numFmtId="166" fontId="33" fillId="59" borderId="18" xfId="250" applyFont="1" applyFill="1" applyBorder="1" applyAlignment="1">
      <alignment horizontal="right"/>
    </xf>
    <xf numFmtId="166" fontId="6" fillId="0" borderId="0" xfId="250" applyFont="1" applyBorder="1" applyAlignment="1">
      <alignment vertical="distributed" wrapText="1"/>
    </xf>
    <xf numFmtId="0" fontId="6" fillId="0" borderId="0" xfId="122" applyFont="1" applyBorder="1" applyAlignment="1">
      <alignment horizontal="left" vertical="distributed" wrapText="1"/>
    </xf>
    <xf numFmtId="166" fontId="6" fillId="0" borderId="0" xfId="250" applyFont="1" applyBorder="1" applyAlignment="1">
      <alignment horizontal="left" vertical="distributed" wrapText="1"/>
    </xf>
    <xf numFmtId="0" fontId="48" fillId="0" borderId="75" xfId="310" applyNumberFormat="1" applyFont="1" applyBorder="1" applyAlignment="1">
      <alignment horizontal="center" vertical="center"/>
    </xf>
    <xf numFmtId="0" fontId="48" fillId="0" borderId="0" xfId="310" applyNumberFormat="1" applyFont="1" applyAlignment="1">
      <alignment horizontal="center" vertical="center"/>
    </xf>
    <xf numFmtId="0" fontId="100" fillId="26" borderId="22" xfId="168" applyFont="1" applyFill="1" applyBorder="1" applyAlignment="1">
      <alignment horizontal="center" vertical="center" wrapText="1"/>
    </xf>
    <xf numFmtId="0" fontId="100" fillId="26" borderId="22" xfId="168" applyFont="1" applyFill="1" applyBorder="1" applyAlignment="1">
      <alignment horizontal="left" vertical="center" wrapText="1"/>
    </xf>
    <xf numFmtId="0" fontId="30" fillId="0" borderId="34" xfId="120" applyFont="1" applyFill="1" applyBorder="1" applyAlignment="1">
      <alignment vertical="distributed"/>
    </xf>
    <xf numFmtId="0" fontId="8" fillId="0" borderId="34" xfId="250" applyNumberFormat="1" applyFont="1" applyFill="1" applyBorder="1" applyAlignment="1">
      <alignment horizontal="center" vertical="center" wrapText="1"/>
    </xf>
    <xf numFmtId="0" fontId="100" fillId="26" borderId="0" xfId="168" applyFont="1" applyFill="1" applyBorder="1" applyAlignment="1">
      <alignment horizontal="center" vertical="center" wrapText="1"/>
    </xf>
    <xf numFmtId="0" fontId="100" fillId="26" borderId="22" xfId="168" applyFont="1" applyFill="1" applyBorder="1" applyAlignment="1">
      <alignment horizontal="center" vertical="center" wrapText="1"/>
    </xf>
    <xf numFmtId="0" fontId="100" fillId="26" borderId="22" xfId="168" applyFont="1" applyFill="1" applyBorder="1" applyAlignment="1">
      <alignment horizontal="left" vertical="center" wrapText="1"/>
    </xf>
    <xf numFmtId="0" fontId="100" fillId="26" borderId="0" xfId="168" applyFont="1" applyFill="1" applyBorder="1" applyAlignment="1">
      <alignment horizontal="left" vertical="center" wrapText="1"/>
    </xf>
    <xf numFmtId="166" fontId="95" fillId="0" borderId="0" xfId="250" applyFont="1" applyFill="1" applyBorder="1" applyAlignment="1">
      <alignment horizontal="center" vertical="center" wrapText="1"/>
    </xf>
    <xf numFmtId="49" fontId="31" fillId="0" borderId="0" xfId="142" applyNumberFormat="1" applyFont="1" applyFill="1" applyBorder="1" applyAlignment="1" applyProtection="1">
      <alignment horizontal="left" wrapText="1"/>
      <protection locked="0"/>
    </xf>
    <xf numFmtId="49" fontId="31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31" fillId="0" borderId="0" xfId="142" applyNumberFormat="1" applyFont="1" applyFill="1" applyBorder="1" applyAlignment="1" applyProtection="1">
      <alignment horizontal="left" vertical="center" wrapText="1"/>
      <protection locked="0"/>
    </xf>
    <xf numFmtId="0" fontId="43" fillId="0" borderId="29" xfId="169" quotePrefix="1" applyNumberFormat="1" applyFont="1" applyFill="1" applyBorder="1" applyAlignment="1">
      <alignment horizontal="center" vertical="center"/>
    </xf>
    <xf numFmtId="0" fontId="43" fillId="0" borderId="22" xfId="169" quotePrefix="1" applyNumberFormat="1" applyFont="1" applyFill="1" applyBorder="1" applyAlignment="1">
      <alignment horizontal="left" vertical="center" wrapText="1"/>
    </xf>
    <xf numFmtId="166" fontId="8" fillId="0" borderId="22" xfId="250" applyFont="1" applyFill="1" applyBorder="1" applyAlignment="1">
      <alignment horizontal="center" vertical="center"/>
    </xf>
    <xf numFmtId="10" fontId="8" fillId="0" borderId="22" xfId="179" applyNumberFormat="1" applyFont="1" applyFill="1" applyBorder="1" applyAlignment="1">
      <alignment horizontal="center" vertical="center"/>
    </xf>
    <xf numFmtId="166" fontId="8" fillId="0" borderId="22" xfId="250" applyFont="1" applyFill="1" applyBorder="1" applyAlignment="1">
      <alignment horizontal="left" vertical="center"/>
    </xf>
    <xf numFmtId="10" fontId="8" fillId="0" borderId="22" xfId="179" applyNumberFormat="1" applyFont="1" applyFill="1" applyBorder="1" applyAlignment="1">
      <alignment horizontal="center"/>
    </xf>
    <xf numFmtId="166" fontId="8" fillId="0" borderId="22" xfId="250" applyFont="1" applyFill="1" applyBorder="1"/>
    <xf numFmtId="166" fontId="8" fillId="0" borderId="57" xfId="250" applyFont="1" applyFill="1" applyBorder="1"/>
    <xf numFmtId="166" fontId="8" fillId="0" borderId="28" xfId="250" applyFont="1" applyFill="1" applyBorder="1"/>
    <xf numFmtId="9" fontId="101" fillId="0" borderId="0" xfId="116" applyNumberFormat="1" applyFont="1" applyFill="1"/>
    <xf numFmtId="10" fontId="101" fillId="0" borderId="0" xfId="250" applyNumberFormat="1" applyFont="1" applyFill="1" applyAlignment="1">
      <alignment horizontal="center"/>
    </xf>
    <xf numFmtId="0" fontId="101" fillId="0" borderId="0" xfId="116" applyFont="1" applyFill="1" applyAlignment="1">
      <alignment horizontal="center"/>
    </xf>
    <xf numFmtId="166" fontId="101" fillId="0" borderId="0" xfId="116" applyNumberFormat="1" applyFont="1" applyFill="1"/>
    <xf numFmtId="10" fontId="101" fillId="0" borderId="0" xfId="116" applyNumberFormat="1" applyFont="1" applyFill="1"/>
    <xf numFmtId="0" fontId="101" fillId="0" borderId="0" xfId="116" applyFont="1" applyFill="1"/>
    <xf numFmtId="166" fontId="8" fillId="0" borderId="22" xfId="250" applyFont="1" applyFill="1" applyBorder="1" applyAlignment="1">
      <alignment horizontal="center"/>
    </xf>
    <xf numFmtId="168" fontId="8" fillId="0" borderId="22" xfId="179" applyNumberFormat="1" applyFont="1" applyFill="1" applyBorder="1" applyAlignment="1">
      <alignment horizontal="center"/>
    </xf>
    <xf numFmtId="0" fontId="6" fillId="59" borderId="29" xfId="159" applyFont="1" applyFill="1" applyBorder="1" applyAlignment="1">
      <alignment horizontal="center" vertical="center"/>
    </xf>
    <xf numFmtId="0" fontId="32" fillId="59" borderId="22" xfId="159" applyFont="1" applyFill="1" applyBorder="1" applyAlignment="1">
      <alignment horizontal="right"/>
    </xf>
    <xf numFmtId="165" fontId="32" fillId="59" borderId="22" xfId="93" applyFont="1" applyFill="1" applyBorder="1" applyAlignment="1">
      <alignment horizontal="center" vertical="center"/>
    </xf>
    <xf numFmtId="10" fontId="32" fillId="59" borderId="22" xfId="179" applyNumberFormat="1" applyFont="1" applyFill="1" applyBorder="1" applyAlignment="1">
      <alignment horizontal="center"/>
    </xf>
    <xf numFmtId="10" fontId="32" fillId="59" borderId="22" xfId="179" applyNumberFormat="1" applyFont="1" applyFill="1" applyBorder="1" applyAlignment="1">
      <alignment horizontal="center" vertical="center"/>
    </xf>
    <xf numFmtId="166" fontId="32" fillId="59" borderId="22" xfId="250" applyFont="1" applyFill="1" applyBorder="1" applyAlignment="1">
      <alignment horizontal="center" vertical="center"/>
    </xf>
    <xf numFmtId="166" fontId="32" fillId="59" borderId="28" xfId="250" applyFont="1" applyFill="1" applyBorder="1" applyAlignment="1">
      <alignment horizontal="center" vertical="center"/>
    </xf>
    <xf numFmtId="0" fontId="6" fillId="0" borderId="29" xfId="159" applyFont="1" applyFill="1" applyBorder="1" applyAlignment="1">
      <alignment horizontal="center" vertical="center"/>
    </xf>
    <xf numFmtId="0" fontId="32" fillId="0" borderId="22" xfId="159" applyFont="1" applyFill="1" applyBorder="1" applyAlignment="1">
      <alignment horizontal="right"/>
    </xf>
    <xf numFmtId="165" fontId="32" fillId="0" borderId="22" xfId="93" applyFont="1" applyFill="1" applyBorder="1" applyAlignment="1">
      <alignment horizontal="center" vertical="center"/>
    </xf>
    <xf numFmtId="10" fontId="32" fillId="0" borderId="22" xfId="179" applyNumberFormat="1" applyFont="1" applyFill="1" applyBorder="1" applyAlignment="1">
      <alignment horizontal="center"/>
    </xf>
    <xf numFmtId="10" fontId="32" fillId="0" borderId="22" xfId="179" applyNumberFormat="1" applyFont="1" applyFill="1" applyBorder="1" applyAlignment="1">
      <alignment horizontal="center" vertical="center"/>
    </xf>
    <xf numFmtId="166" fontId="32" fillId="0" borderId="22" xfId="250" applyFont="1" applyFill="1" applyBorder="1" applyAlignment="1">
      <alignment horizontal="center" vertical="center"/>
    </xf>
    <xf numFmtId="166" fontId="32" fillId="0" borderId="28" xfId="250" applyFont="1" applyFill="1" applyBorder="1" applyAlignment="1">
      <alignment horizontal="center" vertical="center"/>
    </xf>
    <xf numFmtId="0" fontId="52" fillId="0" borderId="0" xfId="116" applyFont="1" applyFill="1" applyAlignment="1">
      <alignment horizontal="right"/>
    </xf>
    <xf numFmtId="10" fontId="52" fillId="0" borderId="0" xfId="116" applyNumberFormat="1" applyFont="1" applyFill="1" applyAlignment="1">
      <alignment horizontal="center"/>
    </xf>
    <xf numFmtId="0" fontId="43" fillId="59" borderId="22" xfId="116" applyFont="1" applyFill="1" applyBorder="1" applyAlignment="1">
      <alignment horizontal="center"/>
    </xf>
    <xf numFmtId="0" fontId="43" fillId="59" borderId="28" xfId="116" applyFont="1" applyFill="1" applyBorder="1" applyAlignment="1">
      <alignment horizontal="center"/>
    </xf>
    <xf numFmtId="9" fontId="52" fillId="0" borderId="0" xfId="116" applyNumberFormat="1" applyFont="1" applyFill="1" applyAlignment="1">
      <alignment horizontal="center"/>
    </xf>
    <xf numFmtId="0" fontId="32" fillId="59" borderId="29" xfId="159" applyFont="1" applyFill="1" applyBorder="1" applyAlignment="1">
      <alignment horizontal="center" vertical="center"/>
    </xf>
    <xf numFmtId="9" fontId="102" fillId="0" borderId="0" xfId="116" applyNumberFormat="1" applyFont="1" applyFill="1"/>
    <xf numFmtId="10" fontId="102" fillId="0" borderId="0" xfId="250" applyNumberFormat="1" applyFont="1" applyFill="1" applyAlignment="1">
      <alignment horizontal="center"/>
    </xf>
    <xf numFmtId="0" fontId="102" fillId="0" borderId="0" xfId="116" applyFont="1" applyFill="1" applyAlignment="1">
      <alignment horizontal="center"/>
    </xf>
    <xf numFmtId="166" fontId="102" fillId="0" borderId="0" xfId="116" applyNumberFormat="1" applyFont="1" applyFill="1"/>
    <xf numFmtId="10" fontId="102" fillId="0" borderId="0" xfId="116" applyNumberFormat="1" applyFont="1" applyFill="1"/>
    <xf numFmtId="0" fontId="102" fillId="0" borderId="0" xfId="116" applyFont="1" applyFill="1"/>
    <xf numFmtId="0" fontId="32" fillId="59" borderId="29" xfId="116" applyFont="1" applyFill="1" applyBorder="1" applyAlignment="1">
      <alignment horizontal="center" vertical="center"/>
    </xf>
    <xf numFmtId="0" fontId="32" fillId="59" borderId="22" xfId="116" applyFont="1" applyFill="1" applyBorder="1"/>
    <xf numFmtId="165" fontId="32" fillId="59" borderId="22" xfId="93" applyFont="1" applyFill="1" applyBorder="1" applyAlignment="1">
      <alignment horizontal="center"/>
    </xf>
    <xf numFmtId="166" fontId="101" fillId="0" borderId="0" xfId="250" applyFont="1" applyFill="1" applyAlignment="1">
      <alignment horizontal="center"/>
    </xf>
    <xf numFmtId="0" fontId="103" fillId="0" borderId="0" xfId="116" applyFont="1" applyFill="1"/>
    <xf numFmtId="0" fontId="30" fillId="0" borderId="30" xfId="116" applyFont="1" applyFill="1" applyBorder="1" applyAlignment="1">
      <alignment horizontal="center" vertical="center"/>
    </xf>
    <xf numFmtId="0" fontId="32" fillId="0" borderId="31" xfId="116" applyFont="1" applyFill="1" applyBorder="1"/>
    <xf numFmtId="166" fontId="32" fillId="0" borderId="31" xfId="250" applyFont="1" applyFill="1" applyBorder="1" applyAlignment="1">
      <alignment horizontal="center" vertical="center"/>
    </xf>
    <xf numFmtId="4" fontId="32" fillId="0" borderId="31" xfId="250" applyNumberFormat="1" applyFont="1" applyFill="1" applyBorder="1" applyAlignment="1">
      <alignment horizontal="center"/>
    </xf>
    <xf numFmtId="166" fontId="32" fillId="0" borderId="31" xfId="250" applyFont="1" applyFill="1" applyBorder="1" applyAlignment="1">
      <alignment horizontal="right"/>
    </xf>
    <xf numFmtId="0" fontId="103" fillId="0" borderId="0" xfId="116" applyFont="1" applyFill="1" applyAlignment="1">
      <alignment horizontal="right"/>
    </xf>
    <xf numFmtId="166" fontId="103" fillId="0" borderId="0" xfId="116" applyNumberFormat="1" applyFont="1" applyFill="1" applyAlignment="1">
      <alignment horizontal="left"/>
    </xf>
    <xf numFmtId="0" fontId="43" fillId="0" borderId="22" xfId="169" quotePrefix="1" applyNumberFormat="1" applyFont="1" applyFill="1" applyBorder="1" applyAlignment="1">
      <alignment horizontal="left" vertical="center"/>
    </xf>
    <xf numFmtId="9" fontId="8" fillId="0" borderId="22" xfId="179" applyFont="1" applyFill="1" applyBorder="1" applyAlignment="1">
      <alignment horizontal="center"/>
    </xf>
    <xf numFmtId="49" fontId="31" fillId="0" borderId="0" xfId="142" applyNumberFormat="1" applyFont="1" applyFill="1" applyBorder="1" applyAlignment="1" applyProtection="1">
      <alignment wrapText="1"/>
      <protection locked="0"/>
    </xf>
    <xf numFmtId="10" fontId="54" fillId="0" borderId="0" xfId="179" applyNumberFormat="1" applyFont="1" applyBorder="1" applyAlignment="1">
      <alignment horizontal="center"/>
    </xf>
    <xf numFmtId="0" fontId="33" fillId="0" borderId="14" xfId="204" applyNumberFormat="1" applyFont="1" applyFill="1" applyBorder="1" applyAlignment="1" applyProtection="1">
      <alignment vertical="center"/>
      <protection locked="0"/>
    </xf>
    <xf numFmtId="0" fontId="33" fillId="0" borderId="10" xfId="204" applyNumberFormat="1" applyFont="1" applyFill="1" applyBorder="1" applyAlignment="1" applyProtection="1">
      <alignment vertical="center"/>
      <protection locked="0"/>
    </xf>
    <xf numFmtId="49" fontId="6" fillId="0" borderId="10" xfId="142" applyNumberFormat="1" applyFont="1" applyFill="1" applyBorder="1" applyAlignment="1" applyProtection="1">
      <alignment horizontal="center" wrapText="1"/>
      <protection locked="0"/>
    </xf>
    <xf numFmtId="39" fontId="6" fillId="0" borderId="10" xfId="95" applyNumberFormat="1" applyFont="1" applyFill="1" applyBorder="1" applyAlignment="1" applyProtection="1">
      <alignment wrapText="1"/>
      <protection locked="0"/>
    </xf>
    <xf numFmtId="0" fontId="52" fillId="0" borderId="10" xfId="116" applyFont="1" applyFill="1" applyBorder="1"/>
    <xf numFmtId="0" fontId="43" fillId="59" borderId="26" xfId="116" applyFont="1" applyFill="1" applyBorder="1" applyAlignment="1">
      <alignment horizontal="center"/>
    </xf>
    <xf numFmtId="165" fontId="30" fillId="59" borderId="31" xfId="93" applyFont="1" applyFill="1" applyBorder="1"/>
    <xf numFmtId="10" fontId="30" fillId="59" borderId="31" xfId="116" applyNumberFormat="1" applyFont="1" applyFill="1" applyBorder="1" applyAlignment="1">
      <alignment horizontal="center"/>
    </xf>
    <xf numFmtId="165" fontId="30" fillId="59" borderId="41" xfId="93" applyFont="1" applyFill="1" applyBorder="1"/>
    <xf numFmtId="49" fontId="54" fillId="0" borderId="0" xfId="142" applyNumberFormat="1" applyFont="1" applyFill="1" applyBorder="1" applyAlignment="1" applyProtection="1">
      <alignment horizontal="center" vertical="center"/>
      <protection locked="0"/>
    </xf>
    <xf numFmtId="0" fontId="33" fillId="0" borderId="13" xfId="204" applyNumberFormat="1" applyFont="1" applyFill="1" applyBorder="1" applyAlignment="1" applyProtection="1">
      <alignment vertical="center"/>
      <protection locked="0"/>
    </xf>
    <xf numFmtId="0" fontId="33" fillId="0" borderId="0" xfId="204" applyNumberFormat="1" applyFont="1" applyFill="1" applyBorder="1" applyAlignment="1" applyProtection="1">
      <alignment vertical="center"/>
      <protection locked="0"/>
    </xf>
    <xf numFmtId="173" fontId="33" fillId="0" borderId="10" xfId="95" applyNumberFormat="1" applyFont="1" applyFill="1" applyBorder="1" applyAlignment="1" applyProtection="1">
      <alignment horizontal="center" wrapText="1"/>
      <protection locked="0"/>
    </xf>
    <xf numFmtId="0" fontId="8" fillId="25" borderId="13" xfId="116" applyFont="1" applyFill="1" applyBorder="1" applyAlignment="1">
      <alignment horizontal="center" vertical="center"/>
    </xf>
    <xf numFmtId="0" fontId="8" fillId="25" borderId="0" xfId="116" applyFont="1" applyFill="1" applyBorder="1"/>
    <xf numFmtId="166" fontId="8" fillId="25" borderId="0" xfId="250" applyFont="1" applyFill="1" applyBorder="1" applyAlignment="1">
      <alignment horizontal="center" vertical="center"/>
    </xf>
    <xf numFmtId="4" fontId="8" fillId="25" borderId="0" xfId="250" applyNumberFormat="1" applyFont="1" applyFill="1" applyBorder="1" applyAlignment="1">
      <alignment horizontal="center"/>
    </xf>
    <xf numFmtId="166" fontId="8" fillId="25" borderId="0" xfId="250" applyFont="1" applyFill="1" applyBorder="1" applyAlignment="1">
      <alignment horizontal="right"/>
    </xf>
    <xf numFmtId="0" fontId="8" fillId="25" borderId="11" xfId="116" applyFont="1" applyFill="1" applyBorder="1"/>
    <xf numFmtId="0" fontId="8" fillId="0" borderId="42" xfId="116" applyFont="1" applyFill="1" applyBorder="1" applyAlignment="1">
      <alignment horizontal="center" vertical="center"/>
    </xf>
    <xf numFmtId="0" fontId="8" fillId="0" borderId="15" xfId="116" applyFont="1" applyFill="1" applyBorder="1"/>
    <xf numFmtId="166" fontId="8" fillId="0" borderId="15" xfId="250" applyFont="1" applyFill="1" applyBorder="1" applyAlignment="1">
      <alignment horizontal="center" vertical="center"/>
    </xf>
    <xf numFmtId="4" fontId="8" fillId="0" borderId="15" xfId="250" applyNumberFormat="1" applyFont="1" applyFill="1" applyBorder="1" applyAlignment="1">
      <alignment horizontal="center"/>
    </xf>
    <xf numFmtId="166" fontId="8" fillId="0" borderId="15" xfId="250" applyFont="1" applyFill="1" applyBorder="1" applyAlignment="1">
      <alignment horizontal="right"/>
    </xf>
    <xf numFmtId="0" fontId="8" fillId="0" borderId="23" xfId="116" applyFont="1" applyFill="1" applyBorder="1"/>
    <xf numFmtId="0" fontId="8" fillId="0" borderId="13" xfId="116" applyFont="1" applyFill="1" applyBorder="1" applyAlignment="1">
      <alignment horizontal="center" vertical="center"/>
    </xf>
    <xf numFmtId="0" fontId="8" fillId="0" borderId="0" xfId="116" applyFont="1" applyFill="1" applyBorder="1"/>
    <xf numFmtId="166" fontId="8" fillId="0" borderId="0" xfId="250" applyFont="1" applyFill="1" applyBorder="1" applyAlignment="1">
      <alignment horizontal="center" vertical="center"/>
    </xf>
    <xf numFmtId="4" fontId="8" fillId="0" borderId="0" xfId="250" applyNumberFormat="1" applyFont="1" applyFill="1" applyBorder="1" applyAlignment="1">
      <alignment horizontal="center"/>
    </xf>
    <xf numFmtId="166" fontId="8" fillId="0" borderId="0" xfId="250" applyFont="1" applyFill="1" applyBorder="1" applyAlignment="1">
      <alignment horizontal="right"/>
    </xf>
    <xf numFmtId="0" fontId="8" fillId="0" borderId="11" xfId="116" applyFont="1" applyFill="1" applyBorder="1"/>
    <xf numFmtId="10" fontId="30" fillId="59" borderId="22" xfId="179" applyNumberFormat="1" applyFont="1" applyFill="1" applyBorder="1" applyAlignment="1">
      <alignment horizontal="center" vertical="center"/>
    </xf>
    <xf numFmtId="166" fontId="30" fillId="59" borderId="22" xfId="250" applyFont="1" applyFill="1" applyBorder="1" applyAlignment="1">
      <alignment horizontal="center" vertical="center"/>
    </xf>
    <xf numFmtId="10" fontId="30" fillId="59" borderId="22" xfId="179" applyNumberFormat="1" applyFont="1" applyFill="1" applyBorder="1" applyAlignment="1">
      <alignment horizontal="center"/>
    </xf>
    <xf numFmtId="10" fontId="30" fillId="59" borderId="31" xfId="179" applyNumberFormat="1" applyFont="1" applyFill="1" applyBorder="1" applyAlignment="1">
      <alignment horizontal="center" vertical="center"/>
    </xf>
    <xf numFmtId="0" fontId="8" fillId="0" borderId="0" xfId="116" applyFont="1" applyFill="1" applyAlignment="1">
      <alignment horizontal="center" vertical="center"/>
    </xf>
    <xf numFmtId="0" fontId="8" fillId="0" borderId="0" xfId="116" applyFont="1" applyFill="1"/>
    <xf numFmtId="166" fontId="8" fillId="0" borderId="0" xfId="250" applyFont="1" applyFill="1" applyAlignment="1">
      <alignment horizontal="center" vertical="center"/>
    </xf>
    <xf numFmtId="4" fontId="8" fillId="0" borderId="0" xfId="250" applyNumberFormat="1" applyFont="1" applyFill="1" applyAlignment="1">
      <alignment horizontal="center"/>
    </xf>
    <xf numFmtId="166" fontId="8" fillId="0" borderId="0" xfId="250" applyFont="1" applyFill="1" applyAlignment="1">
      <alignment horizontal="right"/>
    </xf>
    <xf numFmtId="166" fontId="54" fillId="0" borderId="0" xfId="250" applyFont="1" applyBorder="1" applyAlignment="1">
      <alignment vertical="center"/>
    </xf>
    <xf numFmtId="49" fontId="54" fillId="0" borderId="0" xfId="142" applyNumberFormat="1" applyFont="1" applyFill="1" applyBorder="1" applyAlignment="1" applyProtection="1">
      <alignment wrapText="1"/>
      <protection locked="0"/>
    </xf>
    <xf numFmtId="0" fontId="8" fillId="0" borderId="14" xfId="116" applyFont="1" applyFill="1" applyBorder="1" applyAlignment="1">
      <alignment horizontal="center" vertical="center"/>
    </xf>
    <xf numFmtId="0" fontId="8" fillId="0" borderId="10" xfId="116" applyFont="1" applyFill="1" applyBorder="1"/>
    <xf numFmtId="166" fontId="8" fillId="0" borderId="10" xfId="250" applyFont="1" applyFill="1" applyBorder="1" applyAlignment="1">
      <alignment horizontal="center" vertical="center"/>
    </xf>
    <xf numFmtId="4" fontId="8" fillId="0" borderId="10" xfId="250" applyNumberFormat="1" applyFont="1" applyFill="1" applyBorder="1" applyAlignment="1">
      <alignment horizontal="center"/>
    </xf>
    <xf numFmtId="166" fontId="8" fillId="0" borderId="10" xfId="250" applyFont="1" applyFill="1" applyBorder="1" applyAlignment="1">
      <alignment horizontal="right"/>
    </xf>
    <xf numFmtId="0" fontId="8" fillId="0" borderId="12" xfId="116" applyFont="1" applyFill="1" applyBorder="1"/>
    <xf numFmtId="10" fontId="8" fillId="0" borderId="0" xfId="250" applyNumberFormat="1" applyFont="1" applyFill="1" applyAlignment="1">
      <alignment horizontal="center" vertical="center"/>
    </xf>
    <xf numFmtId="0" fontId="6" fillId="0" borderId="10" xfId="116" applyFont="1" applyBorder="1"/>
    <xf numFmtId="4" fontId="33" fillId="0" borderId="12" xfId="116" applyNumberFormat="1" applyFont="1" applyBorder="1" applyAlignment="1">
      <alignment horizontal="center"/>
    </xf>
    <xf numFmtId="0" fontId="8" fillId="25" borderId="27" xfId="116" applyFont="1" applyFill="1" applyBorder="1"/>
    <xf numFmtId="4" fontId="33" fillId="0" borderId="10" xfId="116" applyNumberFormat="1" applyFont="1" applyFill="1" applyBorder="1" applyAlignment="1">
      <alignment horizontal="center" vertical="justify"/>
    </xf>
    <xf numFmtId="10" fontId="54" fillId="0" borderId="11" xfId="179" applyNumberFormat="1" applyFont="1" applyBorder="1" applyAlignment="1">
      <alignment horizontal="justify" vertical="center"/>
    </xf>
    <xf numFmtId="166" fontId="8" fillId="0" borderId="0" xfId="116" applyNumberFormat="1" applyFont="1" applyFill="1" applyBorder="1"/>
    <xf numFmtId="166" fontId="8" fillId="0" borderId="11" xfId="116" applyNumberFormat="1" applyFont="1" applyFill="1" applyBorder="1"/>
    <xf numFmtId="43" fontId="101" fillId="0" borderId="0" xfId="116" applyNumberFormat="1" applyFont="1" applyFill="1" applyAlignment="1">
      <alignment horizontal="center"/>
    </xf>
    <xf numFmtId="0" fontId="43" fillId="0" borderId="0" xfId="116" applyFont="1" applyFill="1" applyBorder="1"/>
    <xf numFmtId="0" fontId="43" fillId="0" borderId="11" xfId="116" applyFont="1" applyFill="1" applyBorder="1"/>
    <xf numFmtId="166" fontId="43" fillId="0" borderId="0" xfId="250" applyFont="1" applyFill="1" applyBorder="1" applyAlignment="1">
      <alignment horizontal="center" vertical="center"/>
    </xf>
    <xf numFmtId="166" fontId="43" fillId="0" borderId="11" xfId="116" applyNumberFormat="1" applyFont="1" applyFill="1" applyBorder="1"/>
    <xf numFmtId="166" fontId="43" fillId="0" borderId="0" xfId="116" applyNumberFormat="1" applyFont="1" applyFill="1" applyBorder="1"/>
    <xf numFmtId="0" fontId="52" fillId="0" borderId="0" xfId="116" applyFont="1" applyFill="1" applyAlignment="1">
      <alignment horizontal="center" vertical="center"/>
    </xf>
    <xf numFmtId="166" fontId="52" fillId="0" borderId="0" xfId="250" applyFont="1" applyFill="1" applyAlignment="1">
      <alignment horizontal="center" vertical="center"/>
    </xf>
    <xf numFmtId="4" fontId="52" fillId="0" borderId="0" xfId="250" applyNumberFormat="1" applyFont="1" applyFill="1" applyAlignment="1">
      <alignment horizontal="center"/>
    </xf>
    <xf numFmtId="166" fontId="52" fillId="0" borderId="0" xfId="250" applyFont="1" applyFill="1" applyAlignment="1">
      <alignment horizontal="right"/>
    </xf>
    <xf numFmtId="0" fontId="44" fillId="0" borderId="11" xfId="161" applyFont="1" applyBorder="1" applyAlignment="1">
      <alignment horizontal="center"/>
    </xf>
    <xf numFmtId="39" fontId="45" fillId="0" borderId="39" xfId="161" applyNumberFormat="1" applyFont="1" applyBorder="1" applyAlignment="1">
      <alignment horizontal="center"/>
    </xf>
    <xf numFmtId="22" fontId="44" fillId="0" borderId="40" xfId="161" applyNumberFormat="1" applyFont="1" applyBorder="1" applyAlignment="1">
      <alignment horizontal="center"/>
    </xf>
    <xf numFmtId="166" fontId="98" fillId="0" borderId="34" xfId="250" applyFont="1" applyFill="1" applyBorder="1" applyAlignment="1">
      <alignment horizontal="right"/>
    </xf>
    <xf numFmtId="166" fontId="98" fillId="59" borderId="21" xfId="250" applyFont="1" applyFill="1" applyBorder="1" applyAlignment="1">
      <alignment horizontal="right" wrapText="1"/>
    </xf>
    <xf numFmtId="0" fontId="30" fillId="0" borderId="34" xfId="0" applyFont="1" applyFill="1" applyBorder="1" applyAlignment="1">
      <alignment horizontal="left" vertical="center" wrapText="1"/>
    </xf>
    <xf numFmtId="43" fontId="77" fillId="0" borderId="0" xfId="120" applyNumberFormat="1" applyFont="1" applyAlignment="1">
      <alignment vertical="center"/>
    </xf>
    <xf numFmtId="166" fontId="77" fillId="0" borderId="0" xfId="250" applyFont="1" applyAlignment="1">
      <alignment vertical="center"/>
    </xf>
    <xf numFmtId="0" fontId="91" fillId="0" borderId="22" xfId="0" applyFont="1" applyBorder="1" applyAlignment="1">
      <alignment vertical="distributed"/>
    </xf>
    <xf numFmtId="0" fontId="37" fillId="0" borderId="15" xfId="161" applyFont="1" applyBorder="1"/>
    <xf numFmtId="0" fontId="37" fillId="0" borderId="23" xfId="161" applyFont="1" applyBorder="1"/>
    <xf numFmtId="0" fontId="37" fillId="0" borderId="0" xfId="161" applyFont="1" applyBorder="1"/>
    <xf numFmtId="0" fontId="37" fillId="0" borderId="11" xfId="161" applyFont="1" applyBorder="1"/>
    <xf numFmtId="0" fontId="37" fillId="0" borderId="39" xfId="161" applyFont="1" applyBorder="1"/>
    <xf numFmtId="0" fontId="48" fillId="58" borderId="0" xfId="161" applyFont="1" applyFill="1" applyBorder="1" applyAlignment="1">
      <alignment vertical="center"/>
    </xf>
    <xf numFmtId="0" fontId="48" fillId="58" borderId="42" xfId="161" applyFont="1" applyFill="1" applyBorder="1" applyAlignment="1">
      <alignment vertical="center"/>
    </xf>
    <xf numFmtId="0" fontId="37" fillId="58" borderId="23" xfId="161" applyFont="1" applyFill="1" applyBorder="1" applyAlignment="1">
      <alignment vertical="center"/>
    </xf>
    <xf numFmtId="0" fontId="37" fillId="0" borderId="0" xfId="161" applyFont="1" applyFill="1" applyBorder="1" applyAlignment="1">
      <alignment horizontal="left" vertical="center"/>
    </xf>
    <xf numFmtId="0" fontId="37" fillId="0" borderId="0" xfId="161" applyFont="1" applyFill="1" applyBorder="1" applyAlignment="1">
      <alignment vertical="center"/>
    </xf>
    <xf numFmtId="0" fontId="3" fillId="0" borderId="0" xfId="161" applyFont="1" applyFill="1" applyBorder="1" applyAlignment="1">
      <alignment vertical="center"/>
    </xf>
    <xf numFmtId="0" fontId="105" fillId="0" borderId="0" xfId="161" applyFont="1" applyFill="1" applyBorder="1" applyAlignment="1">
      <alignment horizontal="right" vertical="center"/>
    </xf>
    <xf numFmtId="0" fontId="105" fillId="0" borderId="0" xfId="161" applyFont="1" applyFill="1" applyBorder="1" applyAlignment="1">
      <alignment horizontal="left" vertical="center"/>
    </xf>
    <xf numFmtId="0" fontId="37" fillId="0" borderId="0" xfId="161" applyFont="1" applyFill="1" applyAlignment="1">
      <alignment vertical="center"/>
    </xf>
    <xf numFmtId="0" fontId="3" fillId="0" borderId="0" xfId="161" applyFont="1" applyFill="1" applyAlignment="1">
      <alignment vertical="center"/>
    </xf>
    <xf numFmtId="0" fontId="37" fillId="24" borderId="0" xfId="161" applyFont="1" applyFill="1" applyAlignment="1">
      <alignment vertical="center"/>
    </xf>
    <xf numFmtId="0" fontId="48" fillId="58" borderId="13" xfId="161" applyFont="1" applyFill="1" applyBorder="1" applyAlignment="1">
      <alignment vertical="center"/>
    </xf>
    <xf numFmtId="0" fontId="37" fillId="58" borderId="11" xfId="161" applyFont="1" applyFill="1" applyBorder="1" applyAlignment="1">
      <alignment vertical="center"/>
    </xf>
    <xf numFmtId="0" fontId="45" fillId="60" borderId="13" xfId="161" applyFont="1" applyFill="1" applyBorder="1" applyAlignment="1">
      <alignment vertical="center"/>
    </xf>
    <xf numFmtId="0" fontId="37" fillId="60" borderId="0" xfId="161" applyFont="1" applyFill="1" applyBorder="1" applyAlignment="1">
      <alignment vertical="center"/>
    </xf>
    <xf numFmtId="0" fontId="37" fillId="60" borderId="11" xfId="161" applyFont="1" applyFill="1" applyBorder="1" applyAlignment="1">
      <alignment horizontal="left" vertical="center"/>
    </xf>
    <xf numFmtId="0" fontId="37" fillId="58" borderId="0" xfId="161" applyFont="1" applyFill="1" applyBorder="1" applyAlignment="1">
      <alignment vertical="center"/>
    </xf>
    <xf numFmtId="0" fontId="37" fillId="58" borderId="13" xfId="161" applyFont="1" applyFill="1" applyBorder="1" applyAlignment="1">
      <alignment vertical="center"/>
    </xf>
    <xf numFmtId="14" fontId="3" fillId="60" borderId="19" xfId="161" quotePrefix="1" applyNumberFormat="1" applyFont="1" applyFill="1" applyBorder="1" applyAlignment="1">
      <alignment horizontal="center" vertical="center"/>
    </xf>
    <xf numFmtId="0" fontId="3" fillId="58" borderId="0" xfId="161" applyFont="1" applyFill="1" applyBorder="1" applyAlignment="1">
      <alignment vertical="center"/>
    </xf>
    <xf numFmtId="0" fontId="3" fillId="58" borderId="13" xfId="161" applyFont="1" applyFill="1" applyBorder="1" applyAlignment="1">
      <alignment vertical="center"/>
    </xf>
    <xf numFmtId="0" fontId="45" fillId="58" borderId="11" xfId="161" applyFont="1" applyFill="1" applyBorder="1" applyAlignment="1">
      <alignment vertical="center"/>
    </xf>
    <xf numFmtId="0" fontId="45" fillId="0" borderId="0" xfId="161" applyFont="1" applyFill="1" applyBorder="1" applyAlignment="1">
      <alignment horizontal="right" vertical="center"/>
    </xf>
    <xf numFmtId="0" fontId="107" fillId="0" borderId="0" xfId="161" applyFont="1" applyFill="1" applyBorder="1" applyAlignment="1">
      <alignment horizontal="right" vertical="center"/>
    </xf>
    <xf numFmtId="4" fontId="108" fillId="0" borderId="0" xfId="161" applyNumberFormat="1" applyFont="1" applyFill="1" applyBorder="1" applyAlignment="1">
      <alignment horizontal="right" vertical="center"/>
    </xf>
    <xf numFmtId="49" fontId="3" fillId="0" borderId="0" xfId="161" applyNumberFormat="1" applyFont="1" applyFill="1" applyBorder="1" applyAlignment="1">
      <alignment vertical="center"/>
    </xf>
    <xf numFmtId="49" fontId="37" fillId="0" borderId="0" xfId="161" applyNumberFormat="1" applyFont="1" applyFill="1" applyBorder="1" applyAlignment="1">
      <alignment vertical="center"/>
    </xf>
    <xf numFmtId="49" fontId="45" fillId="0" borderId="0" xfId="161" applyNumberFormat="1" applyFont="1" applyFill="1" applyBorder="1" applyAlignment="1">
      <alignment horizontal="left" vertical="center"/>
    </xf>
    <xf numFmtId="49" fontId="45" fillId="0" borderId="0" xfId="161" applyNumberFormat="1" applyFont="1" applyFill="1" applyBorder="1" applyAlignment="1">
      <alignment horizontal="center" vertical="center"/>
    </xf>
    <xf numFmtId="0" fontId="45" fillId="0" borderId="0" xfId="161" applyFont="1" applyFill="1" applyBorder="1" applyAlignment="1">
      <alignment horizontal="center" vertical="center"/>
    </xf>
    <xf numFmtId="4" fontId="108" fillId="0" borderId="0" xfId="161" applyNumberFormat="1" applyFont="1" applyFill="1" applyBorder="1" applyAlignment="1">
      <alignment vertical="center"/>
    </xf>
    <xf numFmtId="0" fontId="45" fillId="60" borderId="35" xfId="161" applyFont="1" applyFill="1" applyBorder="1" applyAlignment="1">
      <alignment vertical="center"/>
    </xf>
    <xf numFmtId="0" fontId="3" fillId="60" borderId="27" xfId="161" applyFont="1" applyFill="1" applyBorder="1" applyAlignment="1">
      <alignment vertical="center"/>
    </xf>
    <xf numFmtId="14" fontId="45" fillId="60" borderId="19" xfId="161" applyNumberFormat="1" applyFont="1" applyFill="1" applyBorder="1" applyAlignment="1">
      <alignment horizontal="center" vertical="center"/>
    </xf>
    <xf numFmtId="0" fontId="37" fillId="58" borderId="14" xfId="161" applyFont="1" applyFill="1" applyBorder="1" applyAlignment="1">
      <alignment vertical="center"/>
    </xf>
    <xf numFmtId="0" fontId="45" fillId="58" borderId="12" xfId="161" applyFont="1" applyFill="1" applyBorder="1" applyAlignment="1">
      <alignment vertical="center"/>
    </xf>
    <xf numFmtId="49" fontId="3" fillId="0" borderId="0" xfId="161" applyNumberFormat="1" applyFont="1" applyFill="1" applyBorder="1" applyAlignment="1">
      <alignment horizontal="left" vertical="center"/>
    </xf>
    <xf numFmtId="49" fontId="3" fillId="0" borderId="0" xfId="161" applyNumberFormat="1" applyFont="1" applyFill="1" applyBorder="1" applyAlignment="1">
      <alignment horizontal="center" vertical="center"/>
    </xf>
    <xf numFmtId="0" fontId="37" fillId="0" borderId="0" xfId="161" applyFont="1" applyFill="1" applyBorder="1" applyAlignment="1">
      <alignment horizontal="center" vertical="center"/>
    </xf>
    <xf numFmtId="49" fontId="108" fillId="58" borderId="13" xfId="161" applyNumberFormat="1" applyFont="1" applyFill="1" applyBorder="1" applyAlignment="1">
      <alignment horizontal="center" vertical="center"/>
    </xf>
    <xf numFmtId="49" fontId="108" fillId="58" borderId="0" xfId="161" applyNumberFormat="1" applyFont="1" applyFill="1" applyBorder="1" applyAlignment="1">
      <alignment horizontal="center" vertical="center"/>
    </xf>
    <xf numFmtId="0" fontId="107" fillId="58" borderId="0" xfId="161" applyFont="1" applyFill="1" applyBorder="1" applyAlignment="1">
      <alignment horizontal="center" vertical="center"/>
    </xf>
    <xf numFmtId="0" fontId="48" fillId="0" borderId="0" xfId="120" applyFont="1" applyBorder="1"/>
    <xf numFmtId="166" fontId="8" fillId="0" borderId="0" xfId="250" applyFont="1" applyBorder="1" applyAlignment="1">
      <alignment horizontal="center"/>
    </xf>
    <xf numFmtId="4" fontId="8" fillId="0" borderId="0" xfId="250" applyNumberFormat="1" applyFont="1" applyBorder="1" applyAlignment="1">
      <alignment horizontal="center"/>
    </xf>
    <xf numFmtId="166" fontId="8" fillId="0" borderId="0" xfId="250" applyFont="1" applyBorder="1" applyAlignment="1"/>
    <xf numFmtId="0" fontId="107" fillId="0" borderId="30" xfId="161" applyFont="1" applyFill="1" applyBorder="1" applyAlignment="1">
      <alignment horizontal="center" vertical="center"/>
    </xf>
    <xf numFmtId="0" fontId="107" fillId="0" borderId="41" xfId="161" applyFont="1" applyFill="1" applyBorder="1" applyAlignment="1">
      <alignment horizontal="center" vertical="center"/>
    </xf>
    <xf numFmtId="0" fontId="3" fillId="0" borderId="0" xfId="161" applyFont="1" applyBorder="1" applyAlignment="1">
      <alignment vertical="center"/>
    </xf>
    <xf numFmtId="169" fontId="105" fillId="0" borderId="0" xfId="120" applyNumberFormat="1" applyFont="1" applyBorder="1"/>
    <xf numFmtId="0" fontId="105" fillId="0" borderId="0" xfId="120" applyFont="1" applyBorder="1"/>
    <xf numFmtId="166" fontId="45" fillId="0" borderId="37" xfId="161" applyNumberFormat="1" applyFont="1" applyFill="1" applyBorder="1" applyAlignment="1">
      <alignment horizontal="center" vertical="center" wrapText="1"/>
    </xf>
    <xf numFmtId="0" fontId="45" fillId="0" borderId="0" xfId="161" applyFont="1" applyFill="1" applyBorder="1" applyAlignment="1">
      <alignment horizontal="justify" vertical="center" wrapText="1"/>
    </xf>
    <xf numFmtId="0" fontId="45" fillId="0" borderId="37" xfId="161" applyFont="1" applyFill="1" applyBorder="1" applyAlignment="1">
      <alignment horizontal="justify" vertical="center" wrapText="1"/>
    </xf>
    <xf numFmtId="0" fontId="37" fillId="0" borderId="33" xfId="161" applyFont="1" applyBorder="1"/>
    <xf numFmtId="0" fontId="105" fillId="0" borderId="0" xfId="120" applyFont="1" applyBorder="1" applyAlignment="1">
      <alignment horizontal="center"/>
    </xf>
    <xf numFmtId="0" fontId="3" fillId="0" borderId="29" xfId="161" applyFont="1" applyBorder="1" applyAlignment="1">
      <alignment horizontal="center" vertical="center"/>
    </xf>
    <xf numFmtId="0" fontId="3" fillId="0" borderId="22" xfId="161" applyFont="1" applyFill="1" applyBorder="1" applyAlignment="1">
      <alignment vertical="center"/>
    </xf>
    <xf numFmtId="10" fontId="3" fillId="61" borderId="28" xfId="324" applyNumberFormat="1" applyFont="1" applyFill="1" applyBorder="1" applyAlignment="1" applyProtection="1">
      <alignment horizontal="center" vertical="center"/>
      <protection locked="0"/>
    </xf>
    <xf numFmtId="10" fontId="3" fillId="0" borderId="0" xfId="324" applyNumberFormat="1" applyFont="1" applyBorder="1" applyAlignment="1">
      <alignment horizontal="center" vertical="center"/>
    </xf>
    <xf numFmtId="10" fontId="3" fillId="0" borderId="29" xfId="324" applyNumberFormat="1" applyFont="1" applyBorder="1" applyAlignment="1">
      <alignment horizontal="center" vertical="center"/>
    </xf>
    <xf numFmtId="10" fontId="3" fillId="0" borderId="28" xfId="324" applyNumberFormat="1" applyFont="1" applyBorder="1" applyAlignment="1">
      <alignment horizontal="center" vertical="center"/>
    </xf>
    <xf numFmtId="169" fontId="105" fillId="0" borderId="0" xfId="120" applyNumberFormat="1" applyFont="1" applyBorder="1" applyAlignment="1">
      <alignment horizontal="right"/>
    </xf>
    <xf numFmtId="4" fontId="50" fillId="0" borderId="0" xfId="250" applyNumberFormat="1" applyFont="1" applyFill="1" applyBorder="1" applyAlignment="1">
      <alignment horizontal="center" vertical="center"/>
    </xf>
    <xf numFmtId="0" fontId="3" fillId="0" borderId="0" xfId="120" applyFont="1" applyBorder="1" applyAlignment="1">
      <alignment horizontal="right"/>
    </xf>
    <xf numFmtId="167" fontId="50" fillId="0" borderId="0" xfId="250" applyNumberFormat="1" applyFont="1" applyFill="1" applyBorder="1" applyAlignment="1">
      <alignment horizontal="center"/>
    </xf>
    <xf numFmtId="0" fontId="50" fillId="0" borderId="0" xfId="120" applyFont="1" applyBorder="1" applyAlignment="1">
      <alignment horizontal="right"/>
    </xf>
    <xf numFmtId="10" fontId="45" fillId="0" borderId="41" xfId="324" applyNumberFormat="1" applyFont="1" applyBorder="1" applyAlignment="1">
      <alignment horizontal="center" vertical="center"/>
    </xf>
    <xf numFmtId="10" fontId="45" fillId="0" borderId="0" xfId="324" applyNumberFormat="1" applyFont="1" applyBorder="1" applyAlignment="1">
      <alignment horizontal="center" vertical="center"/>
    </xf>
    <xf numFmtId="10" fontId="3" fillId="0" borderId="30" xfId="324" applyNumberFormat="1" applyFont="1" applyBorder="1" applyAlignment="1">
      <alignment horizontal="center" vertical="center"/>
    </xf>
    <xf numFmtId="10" fontId="3" fillId="0" borderId="41" xfId="324" applyNumberFormat="1" applyFont="1" applyBorder="1" applyAlignment="1">
      <alignment horizontal="center" vertical="center"/>
    </xf>
    <xf numFmtId="0" fontId="3" fillId="0" borderId="0" xfId="161" applyFont="1" applyBorder="1" applyAlignment="1">
      <alignment horizontal="center" vertical="center"/>
    </xf>
    <xf numFmtId="10" fontId="3" fillId="0" borderId="11" xfId="324" applyNumberFormat="1" applyFont="1" applyBorder="1" applyAlignment="1">
      <alignment horizontal="center" vertical="center"/>
    </xf>
    <xf numFmtId="0" fontId="105" fillId="0" borderId="0" xfId="120" applyFont="1" applyBorder="1" applyAlignment="1">
      <alignment horizontal="right"/>
    </xf>
    <xf numFmtId="4" fontId="105" fillId="0" borderId="0" xfId="179" applyNumberFormat="1" applyFont="1" applyFill="1" applyBorder="1" applyAlignment="1">
      <alignment horizontal="center"/>
    </xf>
    <xf numFmtId="10" fontId="3" fillId="0" borderId="37" xfId="324" applyNumberFormat="1" applyFont="1" applyBorder="1" applyAlignment="1">
      <alignment horizontal="center" vertical="center"/>
    </xf>
    <xf numFmtId="10" fontId="3" fillId="0" borderId="33" xfId="324" applyNumberFormat="1" applyFont="1" applyBorder="1" applyAlignment="1">
      <alignment horizontal="center" vertical="center"/>
    </xf>
    <xf numFmtId="10" fontId="105" fillId="0" borderId="0" xfId="179" applyNumberFormat="1" applyFont="1" applyFill="1" applyBorder="1" applyAlignment="1">
      <alignment horizontal="center"/>
    </xf>
    <xf numFmtId="0" fontId="48" fillId="0" borderId="0" xfId="120" applyFont="1" applyBorder="1" applyAlignment="1">
      <alignment vertical="justify"/>
    </xf>
    <xf numFmtId="10" fontId="45" fillId="0" borderId="0" xfId="324" applyNumberFormat="1" applyFont="1" applyBorder="1" applyAlignment="1">
      <alignment horizontal="center" vertical="center" wrapText="1"/>
    </xf>
    <xf numFmtId="169" fontId="49" fillId="0" borderId="0" xfId="120" applyNumberFormat="1" applyFont="1" applyBorder="1" applyAlignment="1">
      <alignment horizontal="right"/>
    </xf>
    <xf numFmtId="10" fontId="48" fillId="0" borderId="0" xfId="179" applyNumberFormat="1" applyFont="1" applyFill="1" applyBorder="1" applyAlignment="1">
      <alignment horizontal="center"/>
    </xf>
    <xf numFmtId="10" fontId="3" fillId="0" borderId="38" xfId="324" applyNumberFormat="1" applyFont="1" applyBorder="1" applyAlignment="1">
      <alignment horizontal="center" vertical="center"/>
    </xf>
    <xf numFmtId="10" fontId="3" fillId="0" borderId="19" xfId="324" applyNumberFormat="1" applyFont="1" applyBorder="1" applyAlignment="1">
      <alignment horizontal="center" vertical="center"/>
    </xf>
    <xf numFmtId="0" fontId="42" fillId="0" borderId="0" xfId="120" applyFont="1" applyBorder="1" applyAlignment="1">
      <alignment vertical="distributed" wrapText="1"/>
    </xf>
    <xf numFmtId="166" fontId="42" fillId="0" borderId="0" xfId="250" applyFont="1" applyBorder="1" applyAlignment="1">
      <alignment horizontal="center"/>
    </xf>
    <xf numFmtId="4" fontId="42" fillId="0" borderId="0" xfId="250" applyNumberFormat="1" applyFont="1" applyBorder="1" applyAlignment="1">
      <alignment horizontal="center"/>
    </xf>
    <xf numFmtId="166" fontId="42" fillId="0" borderId="0" xfId="250" applyFont="1" applyBorder="1" applyAlignment="1"/>
    <xf numFmtId="0" fontId="3" fillId="0" borderId="43" xfId="161" applyFont="1" applyBorder="1" applyAlignment="1">
      <alignment horizontal="center" vertical="center"/>
    </xf>
    <xf numFmtId="0" fontId="3" fillId="0" borderId="34" xfId="161" applyFont="1" applyFill="1" applyBorder="1" applyAlignment="1">
      <alignment vertical="center"/>
    </xf>
    <xf numFmtId="10" fontId="3" fillId="61" borderId="44" xfId="324" applyNumberFormat="1" applyFont="1" applyFill="1" applyBorder="1" applyAlignment="1" applyProtection="1">
      <alignment horizontal="center" vertical="center"/>
      <protection locked="0"/>
    </xf>
    <xf numFmtId="0" fontId="3" fillId="0" borderId="0" xfId="161" applyFont="1" applyFill="1" applyBorder="1" applyAlignment="1">
      <alignment horizontal="center" vertical="center"/>
    </xf>
    <xf numFmtId="166" fontId="45" fillId="0" borderId="13" xfId="161" applyNumberFormat="1" applyFont="1" applyFill="1" applyBorder="1" applyAlignment="1">
      <alignment horizontal="center" vertical="center" wrapText="1"/>
    </xf>
    <xf numFmtId="166" fontId="3" fillId="0" borderId="0" xfId="161" applyNumberFormat="1" applyFont="1" applyBorder="1" applyAlignment="1">
      <alignment vertical="center"/>
    </xf>
    <xf numFmtId="0" fontId="3" fillId="0" borderId="13" xfId="161" applyFont="1" applyFill="1" applyBorder="1" applyAlignment="1">
      <alignment horizontal="center" vertical="center"/>
    </xf>
    <xf numFmtId="0" fontId="3" fillId="0" borderId="13" xfId="161" applyFont="1" applyFill="1" applyBorder="1" applyAlignment="1">
      <alignment horizontal="right" vertical="center"/>
    </xf>
    <xf numFmtId="0" fontId="3" fillId="0" borderId="0" xfId="161" applyFont="1" applyFill="1" applyBorder="1" applyAlignment="1">
      <alignment horizontal="right" vertical="center"/>
    </xf>
    <xf numFmtId="165" fontId="109" fillId="0" borderId="0" xfId="324" applyNumberFormat="1" applyFont="1" applyBorder="1" applyAlignment="1">
      <alignment vertical="center"/>
    </xf>
    <xf numFmtId="10" fontId="49" fillId="0" borderId="0" xfId="161" applyNumberFormat="1" applyFont="1" applyFill="1" applyBorder="1" applyAlignment="1">
      <alignment vertical="center"/>
    </xf>
    <xf numFmtId="10" fontId="3" fillId="0" borderId="19" xfId="161" applyNumberFormat="1" applyFont="1" applyFill="1" applyBorder="1" applyAlignment="1">
      <alignment horizontal="center" vertical="center"/>
    </xf>
    <xf numFmtId="10" fontId="49" fillId="0" borderId="10" xfId="161" applyNumberFormat="1" applyFont="1" applyFill="1" applyBorder="1" applyAlignment="1">
      <alignment vertical="center"/>
    </xf>
    <xf numFmtId="0" fontId="37" fillId="0" borderId="10" xfId="161" applyFont="1" applyBorder="1"/>
    <xf numFmtId="0" fontId="37" fillId="0" borderId="12" xfId="161" applyFont="1" applyBorder="1"/>
    <xf numFmtId="0" fontId="48" fillId="61" borderId="0" xfId="161" applyFont="1" applyFill="1" applyAlignment="1">
      <alignment horizontal="center" vertical="center"/>
    </xf>
    <xf numFmtId="0" fontId="105" fillId="0" borderId="0" xfId="161" applyFont="1"/>
    <xf numFmtId="0" fontId="37" fillId="0" borderId="0" xfId="161" applyFont="1" applyAlignment="1">
      <alignment horizontal="center" vertical="center"/>
    </xf>
    <xf numFmtId="0" fontId="77" fillId="0" borderId="0" xfId="120" applyFont="1" applyAlignment="1">
      <alignment horizontal="justify" vertical="center"/>
    </xf>
    <xf numFmtId="0" fontId="3" fillId="0" borderId="0" xfId="120" applyFont="1"/>
    <xf numFmtId="49" fontId="50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50" fillId="0" borderId="0" xfId="142" applyNumberFormat="1" applyFont="1" applyFill="1" applyBorder="1" applyAlignment="1" applyProtection="1">
      <alignment horizontal="left" vertical="center" wrapText="1"/>
      <protection locked="0"/>
    </xf>
    <xf numFmtId="49" fontId="50" fillId="0" borderId="0" xfId="142" applyNumberFormat="1" applyFont="1" applyFill="1" applyBorder="1" applyAlignment="1" applyProtection="1">
      <alignment vertical="distributed" wrapText="1"/>
      <protection locked="0"/>
    </xf>
    <xf numFmtId="49" fontId="49" fillId="0" borderId="0" xfId="142" applyNumberFormat="1" applyFont="1" applyFill="1" applyBorder="1" applyAlignment="1" applyProtection="1">
      <alignment wrapText="1"/>
      <protection locked="0"/>
    </xf>
    <xf numFmtId="0" fontId="111" fillId="0" borderId="0" xfId="120" applyFont="1" applyAlignment="1"/>
    <xf numFmtId="2" fontId="3" fillId="0" borderId="32" xfId="250" applyNumberFormat="1" applyFont="1" applyFill="1" applyBorder="1" applyAlignment="1">
      <alignment horizontal="center" vertical="center"/>
    </xf>
    <xf numFmtId="2" fontId="3" fillId="0" borderId="33" xfId="250" applyNumberFormat="1" applyFont="1" applyFill="1" applyBorder="1" applyAlignment="1">
      <alignment horizontal="center" vertical="center"/>
    </xf>
    <xf numFmtId="2" fontId="3" fillId="0" borderId="22" xfId="250" applyNumberFormat="1" applyFont="1" applyFill="1" applyBorder="1" applyAlignment="1">
      <alignment horizontal="center" vertical="center"/>
    </xf>
    <xf numFmtId="2" fontId="3" fillId="0" borderId="28" xfId="250" applyNumberFormat="1" applyFont="1" applyFill="1" applyBorder="1" applyAlignment="1">
      <alignment horizontal="center" vertical="center"/>
    </xf>
    <xf numFmtId="2" fontId="3" fillId="0" borderId="31" xfId="250" applyNumberFormat="1" applyFont="1" applyFill="1" applyBorder="1" applyAlignment="1">
      <alignment horizontal="center" vertical="center"/>
    </xf>
    <xf numFmtId="2" fontId="3" fillId="0" borderId="41" xfId="250" applyNumberFormat="1" applyFont="1" applyFill="1" applyBorder="1" applyAlignment="1">
      <alignment horizontal="center" vertical="center"/>
    </xf>
    <xf numFmtId="2" fontId="49" fillId="0" borderId="10" xfId="250" applyNumberFormat="1" applyFont="1" applyFill="1" applyBorder="1" applyAlignment="1">
      <alignment horizontal="center" vertical="center"/>
    </xf>
    <xf numFmtId="2" fontId="49" fillId="0" borderId="12" xfId="250" applyNumberFormat="1" applyFont="1" applyFill="1" applyBorder="1" applyAlignment="1">
      <alignment horizontal="center" vertical="center"/>
    </xf>
    <xf numFmtId="4" fontId="3" fillId="0" borderId="32" xfId="250" applyNumberFormat="1" applyFont="1" applyFill="1" applyBorder="1" applyAlignment="1">
      <alignment horizontal="center" vertical="center"/>
    </xf>
    <xf numFmtId="4" fontId="3" fillId="0" borderId="33" xfId="250" applyNumberFormat="1" applyFont="1" applyFill="1" applyBorder="1" applyAlignment="1">
      <alignment horizontal="center" vertical="center"/>
    </xf>
    <xf numFmtId="4" fontId="3" fillId="0" borderId="22" xfId="250" applyNumberFormat="1" applyFont="1" applyFill="1" applyBorder="1" applyAlignment="1">
      <alignment horizontal="center" vertical="center"/>
    </xf>
    <xf numFmtId="4" fontId="3" fillId="0" borderId="28" xfId="250" applyNumberFormat="1" applyFont="1" applyFill="1" applyBorder="1" applyAlignment="1">
      <alignment horizontal="center" vertical="center"/>
    </xf>
    <xf numFmtId="4" fontId="3" fillId="0" borderId="31" xfId="250" applyNumberFormat="1" applyFont="1" applyFill="1" applyBorder="1" applyAlignment="1">
      <alignment horizontal="center" vertical="center"/>
    </xf>
    <xf numFmtId="4" fontId="3" fillId="0" borderId="41" xfId="250" applyNumberFormat="1" applyFont="1" applyFill="1" applyBorder="1" applyAlignment="1">
      <alignment horizontal="center" vertical="center"/>
    </xf>
    <xf numFmtId="4" fontId="49" fillId="0" borderId="10" xfId="250" applyNumberFormat="1" applyFont="1" applyFill="1" applyBorder="1" applyAlignment="1">
      <alignment horizontal="center" vertical="center"/>
    </xf>
    <xf numFmtId="4" fontId="49" fillId="0" borderId="12" xfId="250" applyNumberFormat="1" applyFont="1" applyFill="1" applyBorder="1" applyAlignment="1">
      <alignment horizontal="center" vertical="center"/>
    </xf>
    <xf numFmtId="0" fontId="49" fillId="0" borderId="13" xfId="120" applyFont="1" applyFill="1" applyBorder="1" applyAlignment="1">
      <alignment horizontal="center"/>
    </xf>
    <xf numFmtId="0" fontId="49" fillId="0" borderId="0" xfId="120" applyFont="1" applyFill="1" applyBorder="1" applyAlignment="1">
      <alignment horizontal="center"/>
    </xf>
    <xf numFmtId="4" fontId="49" fillId="0" borderId="0" xfId="250" applyNumberFormat="1" applyFont="1" applyFill="1" applyBorder="1" applyAlignment="1">
      <alignment horizontal="center" vertical="center"/>
    </xf>
    <xf numFmtId="4" fontId="49" fillId="0" borderId="11" xfId="250" applyNumberFormat="1" applyFont="1" applyFill="1" applyBorder="1" applyAlignment="1">
      <alignment horizontal="center" vertical="center"/>
    </xf>
    <xf numFmtId="4" fontId="49" fillId="0" borderId="21" xfId="250" applyNumberFormat="1" applyFont="1" applyFill="1" applyBorder="1" applyAlignment="1">
      <alignment horizontal="center" vertical="center"/>
    </xf>
    <xf numFmtId="4" fontId="49" fillId="0" borderId="27" xfId="250" applyNumberFormat="1" applyFont="1" applyFill="1" applyBorder="1" applyAlignment="1">
      <alignment horizontal="center" vertical="center"/>
    </xf>
    <xf numFmtId="0" fontId="45" fillId="0" borderId="0" xfId="120" applyFont="1"/>
    <xf numFmtId="0" fontId="6" fillId="0" borderId="0" xfId="122" applyFont="1" applyAlignment="1">
      <alignment vertical="distributed" wrapText="1"/>
    </xf>
    <xf numFmtId="166" fontId="33" fillId="0" borderId="0" xfId="250" applyFont="1" applyFill="1" applyBorder="1" applyAlignment="1" applyProtection="1">
      <alignment horizontal="center" vertical="center" wrapText="1"/>
      <protection locked="0"/>
    </xf>
    <xf numFmtId="0" fontId="112" fillId="0" borderId="0" xfId="0" applyFont="1" applyBorder="1" applyAlignment="1">
      <alignment vertical="center"/>
    </xf>
    <xf numFmtId="0" fontId="113" fillId="0" borderId="0" xfId="0" applyFont="1" applyFill="1" applyBorder="1" applyAlignment="1">
      <alignment vertical="center"/>
    </xf>
    <xf numFmtId="0" fontId="113" fillId="0" borderId="0" xfId="0" applyFont="1" applyBorder="1" applyAlignment="1">
      <alignment vertical="center"/>
    </xf>
    <xf numFmtId="0" fontId="114" fillId="0" borderId="0" xfId="0" applyFont="1" applyFill="1" applyBorder="1" applyAlignment="1">
      <alignment vertical="distributed" wrapText="1"/>
    </xf>
    <xf numFmtId="166" fontId="114" fillId="0" borderId="0" xfId="250" applyFont="1" applyFill="1" applyBorder="1" applyAlignment="1">
      <alignment horizontal="center"/>
    </xf>
    <xf numFmtId="0" fontId="117" fillId="0" borderId="0" xfId="120" applyFont="1" applyAlignment="1">
      <alignment vertical="center"/>
    </xf>
    <xf numFmtId="4" fontId="118" fillId="0" borderId="0" xfId="120" applyNumberFormat="1" applyFont="1" applyAlignment="1">
      <alignment horizontal="right" vertical="center"/>
    </xf>
    <xf numFmtId="0" fontId="117" fillId="0" borderId="0" xfId="0" applyFont="1" applyFill="1" applyBorder="1" applyAlignment="1">
      <alignment vertical="distributed" wrapText="1"/>
    </xf>
    <xf numFmtId="166" fontId="117" fillId="0" borderId="0" xfId="250" applyFont="1" applyFill="1" applyBorder="1" applyAlignment="1">
      <alignment horizontal="center"/>
    </xf>
    <xf numFmtId="0" fontId="117" fillId="0" borderId="0" xfId="0" applyFont="1" applyBorder="1" applyAlignment="1">
      <alignment vertical="center"/>
    </xf>
    <xf numFmtId="0" fontId="119" fillId="0" borderId="0" xfId="120" applyFont="1" applyAlignment="1">
      <alignment vertical="center"/>
    </xf>
    <xf numFmtId="4" fontId="119" fillId="0" borderId="0" xfId="120" applyNumberFormat="1" applyFont="1" applyAlignment="1">
      <alignment horizontal="right" vertical="center"/>
    </xf>
    <xf numFmtId="0" fontId="119" fillId="0" borderId="0" xfId="0" applyFont="1" applyBorder="1" applyAlignment="1">
      <alignment vertical="center"/>
    </xf>
    <xf numFmtId="0" fontId="120" fillId="0" borderId="0" xfId="0" applyFont="1" applyFill="1" applyBorder="1" applyAlignment="1">
      <alignment vertical="center"/>
    </xf>
    <xf numFmtId="0" fontId="120" fillId="0" borderId="0" xfId="0" applyFont="1" applyBorder="1" applyAlignment="1">
      <alignment vertical="center"/>
    </xf>
    <xf numFmtId="0" fontId="120" fillId="0" borderId="0" xfId="0" applyFont="1" applyFill="1" applyBorder="1" applyAlignment="1">
      <alignment horizontal="justify" vertical="center"/>
    </xf>
    <xf numFmtId="0" fontId="121" fillId="0" borderId="0" xfId="0" applyFont="1" applyAlignment="1">
      <alignment horizontal="justify" vertical="center"/>
    </xf>
    <xf numFmtId="0" fontId="120" fillId="0" borderId="22" xfId="0" applyFont="1" applyFill="1" applyBorder="1" applyAlignment="1">
      <alignment vertical="center"/>
    </xf>
    <xf numFmtId="0" fontId="115" fillId="0" borderId="24" xfId="120" applyFont="1" applyBorder="1" applyAlignment="1">
      <alignment horizontal="justify" vertical="center"/>
    </xf>
    <xf numFmtId="0" fontId="115" fillId="0" borderId="22" xfId="120" applyFont="1" applyBorder="1" applyAlignment="1">
      <alignment vertical="center"/>
    </xf>
    <xf numFmtId="43" fontId="85" fillId="0" borderId="0" xfId="0" applyNumberFormat="1" applyFont="1" applyFill="1" applyBorder="1" applyAlignment="1">
      <alignment vertical="center"/>
    </xf>
    <xf numFmtId="0" fontId="120" fillId="0" borderId="22" xfId="0" applyFont="1" applyFill="1" applyBorder="1" applyAlignment="1">
      <alignment horizontal="justify" vertical="center"/>
    </xf>
    <xf numFmtId="0" fontId="121" fillId="0" borderId="22" xfId="0" applyFont="1" applyBorder="1" applyAlignment="1">
      <alignment horizontal="justify" vertical="center"/>
    </xf>
    <xf numFmtId="0" fontId="54" fillId="0" borderId="0" xfId="0" applyFont="1" applyAlignment="1">
      <alignment horizontal="center"/>
    </xf>
    <xf numFmtId="0" fontId="120" fillId="0" borderId="22" xfId="0" applyFont="1" applyFill="1" applyBorder="1" applyAlignment="1">
      <alignment horizontal="left" vertical="center"/>
    </xf>
    <xf numFmtId="0" fontId="116" fillId="0" borderId="38" xfId="120" applyFont="1" applyBorder="1" applyAlignment="1">
      <alignment horizontal="center" vertical="center"/>
    </xf>
    <xf numFmtId="0" fontId="116" fillId="0" borderId="18" xfId="120" applyFont="1" applyBorder="1" applyAlignment="1">
      <alignment horizontal="center" vertical="center"/>
    </xf>
    <xf numFmtId="0" fontId="116" fillId="0" borderId="19" xfId="120" applyFont="1" applyBorder="1" applyAlignment="1">
      <alignment horizontal="center" vertical="center"/>
    </xf>
    <xf numFmtId="0" fontId="116" fillId="0" borderId="22" xfId="120" applyFont="1" applyBorder="1" applyAlignment="1">
      <alignment horizontal="center" vertical="center"/>
    </xf>
    <xf numFmtId="0" fontId="82" fillId="0" borderId="76" xfId="0" applyFont="1" applyFill="1" applyBorder="1" applyAlignment="1">
      <alignment horizontal="justify" vertical="center"/>
    </xf>
    <xf numFmtId="0" fontId="84" fillId="0" borderId="16" xfId="0" applyFont="1" applyBorder="1" applyAlignment="1">
      <alignment horizontal="justify" vertical="center"/>
    </xf>
    <xf numFmtId="0" fontId="84" fillId="0" borderId="77" xfId="0" applyFont="1" applyBorder="1" applyAlignment="1">
      <alignment horizontal="justify" vertical="center"/>
    </xf>
    <xf numFmtId="165" fontId="34" fillId="0" borderId="42" xfId="95" applyFont="1" applyFill="1" applyBorder="1" applyAlignment="1" applyProtection="1">
      <alignment horizontal="center" vertical="center" wrapText="1"/>
      <protection locked="0"/>
    </xf>
    <xf numFmtId="165" fontId="34" fillId="0" borderId="15" xfId="95" applyFont="1" applyFill="1" applyBorder="1" applyAlignment="1" applyProtection="1">
      <alignment horizontal="center" vertical="center" wrapText="1"/>
      <protection locked="0"/>
    </xf>
    <xf numFmtId="49" fontId="32" fillId="0" borderId="13" xfId="145" applyNumberFormat="1" applyFont="1" applyFill="1" applyBorder="1" applyAlignment="1" applyProtection="1">
      <alignment horizontal="center" vertical="center" wrapText="1"/>
      <protection locked="0"/>
    </xf>
    <xf numFmtId="49" fontId="32" fillId="0" borderId="0" xfId="145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204" applyNumberFormat="1" applyFont="1" applyFill="1" applyBorder="1" applyAlignment="1" applyProtection="1">
      <alignment horizontal="left" vertical="center"/>
      <protection locked="0"/>
    </xf>
    <xf numFmtId="0" fontId="6" fillId="0" borderId="10" xfId="204" applyNumberFormat="1" applyFont="1" applyFill="1" applyBorder="1" applyAlignment="1" applyProtection="1">
      <alignment horizontal="left" vertical="center"/>
      <protection locked="0"/>
    </xf>
    <xf numFmtId="39" fontId="6" fillId="0" borderId="10" xfId="95" applyNumberFormat="1" applyFont="1" applyFill="1" applyBorder="1" applyAlignment="1" applyProtection="1">
      <alignment horizontal="center" wrapText="1"/>
      <protection locked="0"/>
    </xf>
    <xf numFmtId="0" fontId="32" fillId="59" borderId="38" xfId="120" applyFont="1" applyFill="1" applyBorder="1" applyAlignment="1" applyProtection="1">
      <alignment horizontal="center" vertical="center"/>
      <protection locked="0"/>
    </xf>
    <xf numFmtId="0" fontId="32" fillId="59" borderId="18" xfId="120" applyFont="1" applyFill="1" applyBorder="1" applyAlignment="1" applyProtection="1">
      <alignment horizontal="center" vertical="center"/>
      <protection locked="0"/>
    </xf>
    <xf numFmtId="0" fontId="32" fillId="59" borderId="19" xfId="120" applyFont="1" applyFill="1" applyBorder="1" applyAlignment="1" applyProtection="1">
      <alignment horizontal="center" vertical="center"/>
      <protection locked="0"/>
    </xf>
    <xf numFmtId="0" fontId="32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204" applyNumberFormat="1" applyFont="1" applyFill="1" applyBorder="1" applyAlignment="1" applyProtection="1">
      <alignment horizontal="left" vertical="center" wrapText="1"/>
      <protection locked="0"/>
    </xf>
    <xf numFmtId="49" fontId="31" fillId="0" borderId="0" xfId="142" applyNumberFormat="1" applyFont="1" applyFill="1" applyBorder="1" applyAlignment="1" applyProtection="1">
      <alignment horizontal="left" wrapText="1"/>
      <protection locked="0"/>
    </xf>
    <xf numFmtId="49" fontId="6" fillId="0" borderId="0" xfId="142" applyNumberFormat="1" applyFont="1" applyFill="1" applyBorder="1" applyAlignment="1" applyProtection="1">
      <alignment horizontal="center" wrapText="1"/>
      <protection locked="0"/>
    </xf>
    <xf numFmtId="49" fontId="31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31" fillId="0" borderId="0" xfId="142" applyNumberFormat="1" applyFont="1" applyFill="1" applyBorder="1" applyAlignment="1" applyProtection="1">
      <alignment horizontal="left" vertical="center" wrapText="1"/>
      <protection locked="0"/>
    </xf>
    <xf numFmtId="49" fontId="33" fillId="0" borderId="13" xfId="145" applyNumberFormat="1" applyFont="1" applyFill="1" applyBorder="1" applyAlignment="1" applyProtection="1">
      <alignment horizontal="center" vertical="center" wrapText="1"/>
      <protection locked="0"/>
    </xf>
    <xf numFmtId="49" fontId="33" fillId="0" borderId="0" xfId="145" applyNumberFormat="1" applyFont="1" applyFill="1" applyBorder="1" applyAlignment="1" applyProtection="1">
      <alignment horizontal="center" vertical="center" wrapText="1"/>
      <protection locked="0"/>
    </xf>
    <xf numFmtId="0" fontId="120" fillId="0" borderId="0" xfId="0" applyFont="1" applyFill="1" applyBorder="1" applyAlignment="1">
      <alignment horizontal="justify" vertical="center"/>
    </xf>
    <xf numFmtId="0" fontId="121" fillId="0" borderId="0" xfId="0" applyFont="1" applyAlignment="1">
      <alignment horizontal="justify" vertical="center"/>
    </xf>
    <xf numFmtId="0" fontId="46" fillId="0" borderId="0" xfId="0" applyFont="1" applyAlignment="1">
      <alignment horizontal="center" vertical="center"/>
    </xf>
    <xf numFmtId="0" fontId="46" fillId="0" borderId="42" xfId="161" applyFont="1" applyBorder="1" applyAlignment="1">
      <alignment horizontal="center"/>
    </xf>
    <xf numFmtId="0" fontId="46" fillId="0" borderId="15" xfId="161" applyFont="1" applyBorder="1" applyAlignment="1">
      <alignment horizontal="center"/>
    </xf>
    <xf numFmtId="0" fontId="48" fillId="0" borderId="13" xfId="161" applyFont="1" applyBorder="1" applyAlignment="1">
      <alignment horizontal="center"/>
    </xf>
    <xf numFmtId="0" fontId="48" fillId="0" borderId="0" xfId="161" applyFont="1" applyAlignment="1">
      <alignment horizontal="center"/>
    </xf>
    <xf numFmtId="0" fontId="49" fillId="0" borderId="13" xfId="161" applyFont="1" applyBorder="1" applyAlignment="1">
      <alignment horizontal="center"/>
    </xf>
    <xf numFmtId="0" fontId="49" fillId="0" borderId="0" xfId="161" applyFont="1" applyAlignment="1">
      <alignment horizontal="center"/>
    </xf>
    <xf numFmtId="0" fontId="37" fillId="0" borderId="0" xfId="161" applyFont="1" applyAlignment="1">
      <alignment horizontal="center"/>
    </xf>
    <xf numFmtId="0" fontId="48" fillId="0" borderId="13" xfId="204" applyNumberFormat="1" applyFont="1" applyBorder="1" applyAlignment="1" applyProtection="1">
      <alignment horizontal="left" vertical="center" wrapText="1"/>
      <protection locked="0"/>
    </xf>
    <xf numFmtId="0" fontId="48" fillId="0" borderId="0" xfId="204" applyNumberFormat="1" applyFont="1" applyAlignment="1" applyProtection="1">
      <alignment horizontal="left" vertical="center" wrapText="1"/>
      <protection locked="0"/>
    </xf>
    <xf numFmtId="49" fontId="50" fillId="0" borderId="13" xfId="142" applyNumberFormat="1" applyFont="1" applyBorder="1" applyAlignment="1" applyProtection="1">
      <alignment horizontal="left" vertical="center" wrapText="1"/>
      <protection locked="0"/>
    </xf>
    <xf numFmtId="49" fontId="50" fillId="0" borderId="0" xfId="142" applyNumberFormat="1" applyFont="1" applyAlignment="1" applyProtection="1">
      <alignment horizontal="left" vertical="center" wrapText="1"/>
      <protection locked="0"/>
    </xf>
    <xf numFmtId="0" fontId="44" fillId="0" borderId="11" xfId="161" applyFont="1" applyBorder="1" applyAlignment="1">
      <alignment horizontal="center"/>
    </xf>
    <xf numFmtId="0" fontId="49" fillId="0" borderId="46" xfId="204" applyNumberFormat="1" applyFont="1" applyBorder="1" applyAlignment="1" applyProtection="1">
      <alignment horizontal="left" vertical="center"/>
      <protection locked="0"/>
    </xf>
    <xf numFmtId="0" fontId="49" fillId="0" borderId="39" xfId="204" applyNumberFormat="1" applyFont="1" applyBorder="1" applyAlignment="1" applyProtection="1">
      <alignment horizontal="left" vertical="center"/>
      <protection locked="0"/>
    </xf>
    <xf numFmtId="39" fontId="45" fillId="0" borderId="39" xfId="161" applyNumberFormat="1" applyFont="1" applyBorder="1" applyAlignment="1">
      <alignment horizontal="center"/>
    </xf>
    <xf numFmtId="22" fontId="44" fillId="0" borderId="39" xfId="161" applyNumberFormat="1" applyFont="1" applyBorder="1" applyAlignment="1">
      <alignment horizontal="center"/>
    </xf>
    <xf numFmtId="22" fontId="44" fillId="0" borderId="40" xfId="161" applyNumberFormat="1" applyFont="1" applyBorder="1" applyAlignment="1">
      <alignment horizontal="center"/>
    </xf>
    <xf numFmtId="173" fontId="33" fillId="0" borderId="10" xfId="95" applyNumberFormat="1" applyFont="1" applyFill="1" applyBorder="1" applyAlignment="1" applyProtection="1">
      <alignment horizontal="center" wrapText="1"/>
      <protection locked="0"/>
    </xf>
    <xf numFmtId="0" fontId="33" fillId="0" borderId="13" xfId="204" applyNumberFormat="1" applyFont="1" applyFill="1" applyBorder="1" applyAlignment="1" applyProtection="1">
      <alignment horizontal="left" vertical="distributed"/>
      <protection locked="0"/>
    </xf>
    <xf numFmtId="0" fontId="33" fillId="0" borderId="0" xfId="204" applyNumberFormat="1" applyFont="1" applyFill="1" applyBorder="1" applyAlignment="1" applyProtection="1">
      <alignment horizontal="left" vertical="distributed"/>
      <protection locked="0"/>
    </xf>
    <xf numFmtId="49" fontId="53" fillId="0" borderId="13" xfId="145" applyNumberFormat="1" applyFont="1" applyFill="1" applyBorder="1" applyAlignment="1" applyProtection="1">
      <alignment horizontal="center" vertical="center" wrapText="1"/>
      <protection locked="0"/>
    </xf>
    <xf numFmtId="0" fontId="53" fillId="0" borderId="0" xfId="145" applyNumberFormat="1" applyFont="1" applyFill="1" applyBorder="1" applyAlignment="1" applyProtection="1">
      <alignment horizontal="center" vertical="center" wrapText="1"/>
      <protection locked="0"/>
    </xf>
    <xf numFmtId="49" fontId="33" fillId="0" borderId="0" xfId="142" applyNumberFormat="1" applyFont="1" applyFill="1" applyBorder="1" applyAlignment="1" applyProtection="1">
      <alignment horizontal="center" wrapText="1"/>
      <protection locked="0"/>
    </xf>
    <xf numFmtId="49" fontId="54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54" fillId="0" borderId="0" xfId="142" applyNumberFormat="1" applyFont="1" applyFill="1" applyBorder="1" applyAlignment="1" applyProtection="1">
      <alignment horizontal="left" vertical="center" wrapText="1"/>
      <protection locked="0"/>
    </xf>
    <xf numFmtId="49" fontId="54" fillId="0" borderId="0" xfId="142" applyNumberFormat="1" applyFont="1" applyFill="1" applyBorder="1" applyAlignment="1" applyProtection="1">
      <alignment horizontal="center" vertical="center"/>
      <protection locked="0"/>
    </xf>
    <xf numFmtId="165" fontId="51" fillId="0" borderId="42" xfId="95" applyFont="1" applyFill="1" applyBorder="1" applyAlignment="1" applyProtection="1">
      <alignment horizontal="center" vertical="center" wrapText="1"/>
      <protection locked="0"/>
    </xf>
    <xf numFmtId="165" fontId="51" fillId="0" borderId="15" xfId="95" applyFont="1" applyFill="1" applyBorder="1" applyAlignment="1" applyProtection="1">
      <alignment horizontal="center" vertical="center" wrapText="1"/>
      <protection locked="0"/>
    </xf>
    <xf numFmtId="49" fontId="34" fillId="0" borderId="13" xfId="145" applyNumberFormat="1" applyFont="1" applyFill="1" applyBorder="1" applyAlignment="1" applyProtection="1">
      <alignment horizontal="center" vertical="center" wrapText="1"/>
      <protection locked="0"/>
    </xf>
    <xf numFmtId="49" fontId="34" fillId="0" borderId="0" xfId="145" applyNumberFormat="1" applyFont="1" applyFill="1" applyBorder="1" applyAlignment="1" applyProtection="1">
      <alignment horizontal="center" vertical="center" wrapText="1"/>
      <protection locked="0"/>
    </xf>
    <xf numFmtId="49" fontId="54" fillId="0" borderId="13" xfId="142" applyNumberFormat="1" applyFont="1" applyFill="1" applyBorder="1" applyAlignment="1" applyProtection="1">
      <alignment horizontal="left" vertical="center"/>
      <protection locked="0"/>
    </xf>
    <xf numFmtId="49" fontId="54" fillId="0" borderId="0" xfId="142" applyNumberFormat="1" applyFont="1" applyFill="1" applyBorder="1" applyAlignment="1" applyProtection="1">
      <alignment horizontal="left" vertical="center"/>
      <protection locked="0"/>
    </xf>
    <xf numFmtId="0" fontId="43" fillId="59" borderId="22" xfId="116" applyFont="1" applyFill="1" applyBorder="1" applyAlignment="1">
      <alignment horizontal="center"/>
    </xf>
    <xf numFmtId="166" fontId="43" fillId="59" borderId="22" xfId="250" applyFont="1" applyFill="1" applyBorder="1" applyAlignment="1">
      <alignment horizontal="center" vertical="center" wrapText="1"/>
    </xf>
    <xf numFmtId="4" fontId="43" fillId="59" borderId="22" xfId="250" applyNumberFormat="1" applyFont="1" applyFill="1" applyBorder="1" applyAlignment="1">
      <alignment horizontal="center" vertical="center" wrapText="1"/>
    </xf>
    <xf numFmtId="166" fontId="7" fillId="59" borderId="22" xfId="250" applyFont="1" applyFill="1" applyBorder="1" applyAlignment="1">
      <alignment horizontal="center" vertical="center" wrapText="1"/>
    </xf>
    <xf numFmtId="0" fontId="33" fillId="0" borderId="0" xfId="142" applyNumberFormat="1" applyFont="1" applyFill="1" applyBorder="1" applyAlignment="1" applyProtection="1">
      <alignment horizontal="center" vertical="distributed" wrapText="1"/>
      <protection locked="0"/>
    </xf>
    <xf numFmtId="0" fontId="45" fillId="0" borderId="47" xfId="169" applyFont="1" applyFill="1" applyBorder="1" applyAlignment="1">
      <alignment horizontal="center" vertical="center"/>
    </xf>
    <xf numFmtId="0" fontId="45" fillId="0" borderId="48" xfId="169" applyFont="1" applyFill="1" applyBorder="1" applyAlignment="1">
      <alignment horizontal="center" vertical="center"/>
    </xf>
    <xf numFmtId="0" fontId="45" fillId="0" borderId="49" xfId="169" applyFont="1" applyFill="1" applyBorder="1" applyAlignment="1">
      <alignment horizontal="center" vertical="center"/>
    </xf>
    <xf numFmtId="0" fontId="43" fillId="59" borderId="28" xfId="116" applyFont="1" applyFill="1" applyBorder="1" applyAlignment="1">
      <alignment horizontal="center"/>
    </xf>
    <xf numFmtId="10" fontId="54" fillId="0" borderId="0" xfId="179" applyNumberFormat="1" applyFont="1" applyBorder="1" applyAlignment="1">
      <alignment horizontal="center"/>
    </xf>
    <xf numFmtId="4" fontId="33" fillId="0" borderId="10" xfId="179" applyNumberFormat="1" applyFont="1" applyBorder="1" applyAlignment="1">
      <alignment horizontal="center" vertical="justify"/>
    </xf>
    <xf numFmtId="0" fontId="43" fillId="59" borderId="26" xfId="116" applyFont="1" applyFill="1" applyBorder="1" applyAlignment="1">
      <alignment horizontal="center"/>
    </xf>
    <xf numFmtId="0" fontId="43" fillId="59" borderId="29" xfId="116" applyFont="1" applyFill="1" applyBorder="1" applyAlignment="1">
      <alignment horizontal="center" vertical="center"/>
    </xf>
    <xf numFmtId="0" fontId="43" fillId="59" borderId="22" xfId="169" applyFont="1" applyFill="1" applyBorder="1" applyAlignment="1">
      <alignment horizontal="center" vertical="center" wrapText="1"/>
    </xf>
    <xf numFmtId="0" fontId="108" fillId="0" borderId="46" xfId="204" applyNumberFormat="1" applyFont="1" applyFill="1" applyBorder="1" applyAlignment="1" applyProtection="1">
      <alignment horizontal="left" vertical="center"/>
      <protection locked="0"/>
    </xf>
    <xf numFmtId="0" fontId="108" fillId="0" borderId="39" xfId="204" applyNumberFormat="1" applyFont="1" applyFill="1" applyBorder="1" applyAlignment="1" applyProtection="1">
      <alignment horizontal="left" vertical="center"/>
      <protection locked="0"/>
    </xf>
    <xf numFmtId="49" fontId="45" fillId="0" borderId="0" xfId="142" applyNumberFormat="1" applyFont="1" applyFill="1" applyBorder="1" applyAlignment="1" applyProtection="1">
      <alignment horizontal="center"/>
      <protection locked="0"/>
    </xf>
    <xf numFmtId="0" fontId="48" fillId="0" borderId="0" xfId="161" applyFont="1" applyBorder="1" applyAlignment="1">
      <alignment horizontal="center"/>
    </xf>
    <xf numFmtId="0" fontId="49" fillId="0" borderId="0" xfId="161" applyFont="1" applyBorder="1" applyAlignment="1">
      <alignment horizontal="center"/>
    </xf>
    <xf numFmtId="0" fontId="108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108" fillId="0" borderId="0" xfId="204" applyNumberFormat="1" applyFont="1" applyFill="1" applyBorder="1" applyAlignment="1" applyProtection="1">
      <alignment horizontal="left" vertical="center" wrapText="1"/>
      <protection locked="0"/>
    </xf>
    <xf numFmtId="49" fontId="50" fillId="0" borderId="13" xfId="142" applyNumberFormat="1" applyFont="1" applyFill="1" applyBorder="1" applyAlignment="1" applyProtection="1">
      <alignment horizontal="left" vertical="center" wrapText="1"/>
      <protection locked="0"/>
    </xf>
    <xf numFmtId="49" fontId="50" fillId="0" borderId="0" xfId="142" applyNumberFormat="1" applyFont="1" applyFill="1" applyBorder="1" applyAlignment="1" applyProtection="1">
      <alignment horizontal="left" vertical="center" wrapText="1"/>
      <protection locked="0"/>
    </xf>
    <xf numFmtId="0" fontId="3" fillId="0" borderId="59" xfId="120" applyFont="1" applyFill="1" applyBorder="1" applyAlignment="1">
      <alignment horizontal="center" wrapText="1"/>
    </xf>
    <xf numFmtId="0" fontId="3" fillId="0" borderId="60" xfId="120" applyFont="1" applyFill="1" applyBorder="1" applyAlignment="1">
      <alignment horizontal="center" wrapText="1"/>
    </xf>
    <xf numFmtId="0" fontId="49" fillId="0" borderId="35" xfId="120" applyFont="1" applyFill="1" applyBorder="1" applyAlignment="1">
      <alignment horizontal="center"/>
    </xf>
    <xf numFmtId="0" fontId="49" fillId="0" borderId="21" xfId="120" applyFont="1" applyFill="1" applyBorder="1" applyAlignment="1">
      <alignment horizontal="center"/>
    </xf>
    <xf numFmtId="0" fontId="49" fillId="0" borderId="27" xfId="120" applyFont="1" applyFill="1" applyBorder="1" applyAlignment="1">
      <alignment horizontal="center"/>
    </xf>
    <xf numFmtId="0" fontId="110" fillId="0" borderId="35" xfId="120" applyFont="1" applyBorder="1" applyAlignment="1">
      <alignment horizontal="center" wrapText="1"/>
    </xf>
    <xf numFmtId="0" fontId="110" fillId="0" borderId="21" xfId="120" applyFont="1" applyBorder="1" applyAlignment="1">
      <alignment horizontal="center" wrapText="1"/>
    </xf>
    <xf numFmtId="0" fontId="110" fillId="0" borderId="27" xfId="120" applyFont="1" applyBorder="1" applyAlignment="1">
      <alignment horizontal="center" wrapText="1"/>
    </xf>
    <xf numFmtId="0" fontId="49" fillId="0" borderId="35" xfId="120" applyFont="1" applyBorder="1" applyAlignment="1">
      <alignment horizontal="center"/>
    </xf>
    <xf numFmtId="0" fontId="49" fillId="0" borderId="21" xfId="120" applyFont="1" applyBorder="1" applyAlignment="1">
      <alignment horizontal="center"/>
    </xf>
    <xf numFmtId="0" fontId="49" fillId="0" borderId="27" xfId="120" applyFont="1" applyBorder="1" applyAlignment="1">
      <alignment horizontal="center"/>
    </xf>
    <xf numFmtId="0" fontId="50" fillId="0" borderId="42" xfId="120" applyFont="1" applyFill="1" applyBorder="1" applyAlignment="1">
      <alignment horizontal="center" vertical="center"/>
    </xf>
    <xf numFmtId="0" fontId="50" fillId="0" borderId="23" xfId="120" applyFont="1" applyFill="1" applyBorder="1" applyAlignment="1">
      <alignment horizontal="center" vertical="center"/>
    </xf>
    <xf numFmtId="0" fontId="50" fillId="0" borderId="13" xfId="120" applyFont="1" applyFill="1" applyBorder="1" applyAlignment="1">
      <alignment horizontal="center" vertical="center"/>
    </xf>
    <xf numFmtId="0" fontId="50" fillId="0" borderId="11" xfId="120" applyFont="1" applyFill="1" applyBorder="1" applyAlignment="1">
      <alignment horizontal="center" vertical="center"/>
    </xf>
    <xf numFmtId="0" fontId="50" fillId="0" borderId="14" xfId="120" applyFont="1" applyFill="1" applyBorder="1" applyAlignment="1">
      <alignment horizontal="center" vertical="center"/>
    </xf>
    <xf numFmtId="0" fontId="50" fillId="0" borderId="12" xfId="120" applyFont="1" applyFill="1" applyBorder="1" applyAlignment="1">
      <alignment horizontal="center" vertical="center"/>
    </xf>
    <xf numFmtId="0" fontId="3" fillId="0" borderId="42" xfId="120" applyFont="1" applyFill="1" applyBorder="1" applyAlignment="1">
      <alignment horizontal="center" vertical="center"/>
    </xf>
    <xf numFmtId="0" fontId="3" fillId="0" borderId="15" xfId="120" applyFont="1" applyFill="1" applyBorder="1" applyAlignment="1">
      <alignment horizontal="center" vertical="center"/>
    </xf>
    <xf numFmtId="0" fontId="3" fillId="0" borderId="23" xfId="120" applyFont="1" applyFill="1" applyBorder="1" applyAlignment="1">
      <alignment horizontal="center" vertical="center"/>
    </xf>
    <xf numFmtId="0" fontId="3" fillId="0" borderId="13" xfId="120" applyFont="1" applyFill="1" applyBorder="1" applyAlignment="1">
      <alignment horizontal="center" vertical="center"/>
    </xf>
    <xf numFmtId="0" fontId="3" fillId="0" borderId="0" xfId="120" applyFont="1" applyFill="1" applyBorder="1" applyAlignment="1">
      <alignment horizontal="center" vertical="center"/>
    </xf>
    <xf numFmtId="0" fontId="3" fillId="0" borderId="11" xfId="120" applyFont="1" applyFill="1" applyBorder="1" applyAlignment="1">
      <alignment horizontal="center" vertical="center"/>
    </xf>
    <xf numFmtId="0" fontId="3" fillId="0" borderId="14" xfId="120" applyFont="1" applyFill="1" applyBorder="1" applyAlignment="1">
      <alignment horizontal="center" vertical="center"/>
    </xf>
    <xf numFmtId="0" fontId="3" fillId="0" borderId="10" xfId="120" applyFont="1" applyFill="1" applyBorder="1" applyAlignment="1">
      <alignment horizontal="center" vertical="center"/>
    </xf>
    <xf numFmtId="0" fontId="3" fillId="0" borderId="12" xfId="120" applyFont="1" applyFill="1" applyBorder="1" applyAlignment="1">
      <alignment horizontal="center" vertical="center"/>
    </xf>
    <xf numFmtId="0" fontId="3" fillId="0" borderId="35" xfId="120" applyFont="1" applyFill="1" applyBorder="1" applyAlignment="1">
      <alignment horizontal="center"/>
    </xf>
    <xf numFmtId="0" fontId="3" fillId="0" borderId="27" xfId="120" applyFont="1" applyFill="1" applyBorder="1" applyAlignment="1">
      <alignment horizontal="center"/>
    </xf>
    <xf numFmtId="0" fontId="3" fillId="0" borderId="47" xfId="120" applyFont="1" applyFill="1" applyBorder="1" applyAlignment="1">
      <alignment horizontal="center"/>
    </xf>
    <xf numFmtId="0" fontId="3" fillId="0" borderId="50" xfId="120" applyFont="1" applyFill="1" applyBorder="1" applyAlignment="1">
      <alignment horizontal="center"/>
    </xf>
    <xf numFmtId="0" fontId="3" fillId="0" borderId="51" xfId="120" applyFont="1" applyFill="1" applyBorder="1" applyAlignment="1">
      <alignment horizontal="left"/>
    </xf>
    <xf numFmtId="0" fontId="3" fillId="0" borderId="48" xfId="120" applyFont="1" applyFill="1" applyBorder="1" applyAlignment="1">
      <alignment horizontal="left"/>
    </xf>
    <xf numFmtId="0" fontId="3" fillId="0" borderId="50" xfId="120" applyFont="1" applyFill="1" applyBorder="1" applyAlignment="1">
      <alignment horizontal="left"/>
    </xf>
    <xf numFmtId="0" fontId="3" fillId="0" borderId="56" xfId="120" applyFont="1" applyFill="1" applyBorder="1" applyAlignment="1">
      <alignment horizontal="center"/>
    </xf>
    <xf numFmtId="0" fontId="3" fillId="0" borderId="26" xfId="120" applyFont="1" applyFill="1" applyBorder="1" applyAlignment="1">
      <alignment horizontal="center"/>
    </xf>
    <xf numFmtId="0" fontId="3" fillId="0" borderId="57" xfId="120" applyFont="1" applyFill="1" applyBorder="1" applyAlignment="1">
      <alignment horizontal="left"/>
    </xf>
    <xf numFmtId="0" fontId="3" fillId="0" borderId="58" xfId="120" applyFont="1" applyFill="1" applyBorder="1" applyAlignment="1">
      <alignment horizontal="left"/>
    </xf>
    <xf numFmtId="0" fontId="3" fillId="0" borderId="26" xfId="120" applyFont="1" applyFill="1" applyBorder="1" applyAlignment="1">
      <alignment horizontal="left"/>
    </xf>
    <xf numFmtId="0" fontId="3" fillId="0" borderId="52" xfId="120" applyFont="1" applyFill="1" applyBorder="1" applyAlignment="1">
      <alignment horizontal="center"/>
    </xf>
    <xf numFmtId="0" fontId="3" fillId="0" borderId="53" xfId="120" applyFont="1" applyFill="1" applyBorder="1" applyAlignment="1">
      <alignment horizontal="center"/>
    </xf>
    <xf numFmtId="0" fontId="3" fillId="0" borderId="54" xfId="120" applyFont="1" applyFill="1" applyBorder="1" applyAlignment="1">
      <alignment horizontal="left"/>
    </xf>
    <xf numFmtId="0" fontId="3" fillId="0" borderId="55" xfId="120" applyFont="1" applyFill="1" applyBorder="1" applyAlignment="1">
      <alignment horizontal="left"/>
    </xf>
    <xf numFmtId="0" fontId="3" fillId="0" borderId="53" xfId="120" applyFont="1" applyFill="1" applyBorder="1" applyAlignment="1">
      <alignment horizontal="left"/>
    </xf>
    <xf numFmtId="0" fontId="3" fillId="0" borderId="54" xfId="120" applyFont="1" applyFill="1" applyBorder="1" applyAlignment="1">
      <alignment horizontal="left" vertical="center" wrapText="1"/>
    </xf>
    <xf numFmtId="0" fontId="3" fillId="0" borderId="55" xfId="120" applyFont="1" applyFill="1" applyBorder="1" applyAlignment="1">
      <alignment horizontal="left" vertical="center" wrapText="1"/>
    </xf>
    <xf numFmtId="0" fontId="3" fillId="0" borderId="53" xfId="120" applyFont="1" applyFill="1" applyBorder="1" applyAlignment="1">
      <alignment horizontal="left" vertical="center" wrapText="1"/>
    </xf>
    <xf numFmtId="0" fontId="3" fillId="0" borderId="43" xfId="161" applyFont="1" applyBorder="1" applyAlignment="1">
      <alignment horizontal="center" vertical="center"/>
    </xf>
    <xf numFmtId="0" fontId="3" fillId="0" borderId="36" xfId="161" applyFont="1" applyBorder="1" applyAlignment="1">
      <alignment horizontal="center" vertical="center"/>
    </xf>
    <xf numFmtId="0" fontId="3" fillId="0" borderId="34" xfId="161" applyFont="1" applyFill="1" applyBorder="1" applyAlignment="1">
      <alignment horizontal="left" vertical="center"/>
    </xf>
    <xf numFmtId="0" fontId="3" fillId="0" borderId="24" xfId="161" applyFont="1" applyFill="1" applyBorder="1" applyAlignment="1">
      <alignment horizontal="left" vertical="center"/>
    </xf>
    <xf numFmtId="10" fontId="3" fillId="61" borderId="44" xfId="324" applyNumberFormat="1" applyFont="1" applyFill="1" applyBorder="1" applyAlignment="1" applyProtection="1">
      <alignment horizontal="center" vertical="center"/>
      <protection locked="0"/>
    </xf>
    <xf numFmtId="10" fontId="3" fillId="61" borderId="25" xfId="324" applyNumberFormat="1" applyFont="1" applyFill="1" applyBorder="1" applyAlignment="1" applyProtection="1">
      <alignment horizontal="center" vertical="center"/>
      <protection locked="0"/>
    </xf>
    <xf numFmtId="10" fontId="3" fillId="0" borderId="20" xfId="324" applyNumberFormat="1" applyFont="1" applyBorder="1" applyAlignment="1">
      <alignment horizontal="center" vertical="center"/>
    </xf>
    <xf numFmtId="10" fontId="3" fillId="0" borderId="64" xfId="324" applyNumberFormat="1" applyFont="1" applyBorder="1" applyAlignment="1">
      <alignment horizontal="center" vertical="center"/>
    </xf>
    <xf numFmtId="0" fontId="49" fillId="0" borderId="42" xfId="161" applyFont="1" applyBorder="1" applyAlignment="1">
      <alignment horizontal="center" vertical="center"/>
    </xf>
    <xf numFmtId="0" fontId="49" fillId="0" borderId="15" xfId="161" applyFont="1" applyBorder="1" applyAlignment="1">
      <alignment horizontal="center" vertical="center"/>
    </xf>
    <xf numFmtId="0" fontId="49" fillId="0" borderId="14" xfId="161" applyFont="1" applyBorder="1" applyAlignment="1">
      <alignment horizontal="center" vertical="center"/>
    </xf>
    <xf numFmtId="0" fontId="49" fillId="0" borderId="10" xfId="161" applyFont="1" applyBorder="1" applyAlignment="1">
      <alignment horizontal="center" vertical="center"/>
    </xf>
    <xf numFmtId="10" fontId="49" fillId="60" borderId="23" xfId="161" applyNumberFormat="1" applyFont="1" applyFill="1" applyBorder="1" applyAlignment="1">
      <alignment horizontal="center" vertical="center"/>
    </xf>
    <xf numFmtId="10" fontId="49" fillId="60" borderId="12" xfId="161" applyNumberFormat="1" applyFont="1" applyFill="1" applyBorder="1" applyAlignment="1">
      <alignment horizontal="center" vertical="center"/>
    </xf>
    <xf numFmtId="10" fontId="3" fillId="0" borderId="20" xfId="161" applyNumberFormat="1" applyFont="1" applyFill="1" applyBorder="1" applyAlignment="1">
      <alignment horizontal="center" vertical="center"/>
    </xf>
    <xf numFmtId="10" fontId="3" fillId="0" borderId="64" xfId="161" applyNumberFormat="1" applyFont="1" applyFill="1" applyBorder="1" applyAlignment="1">
      <alignment horizontal="center" vertical="center"/>
    </xf>
    <xf numFmtId="10" fontId="3" fillId="0" borderId="0" xfId="324" applyNumberFormat="1" applyFont="1" applyBorder="1" applyAlignment="1">
      <alignment horizontal="center" vertical="center"/>
    </xf>
    <xf numFmtId="0" fontId="45" fillId="0" borderId="30" xfId="161" applyFont="1" applyFill="1" applyBorder="1" applyAlignment="1">
      <alignment horizontal="right" vertical="center"/>
    </xf>
    <xf numFmtId="0" fontId="45" fillId="0" borderId="31" xfId="161" applyFont="1" applyFill="1" applyBorder="1" applyAlignment="1">
      <alignment horizontal="right" vertical="center"/>
    </xf>
    <xf numFmtId="166" fontId="45" fillId="60" borderId="37" xfId="161" applyNumberFormat="1" applyFont="1" applyFill="1" applyBorder="1" applyAlignment="1">
      <alignment horizontal="center" vertical="center" wrapText="1"/>
    </xf>
    <xf numFmtId="166" fontId="45" fillId="60" borderId="32" xfId="161" applyNumberFormat="1" applyFont="1" applyFill="1" applyBorder="1" applyAlignment="1">
      <alignment horizontal="center" vertical="center" wrapText="1"/>
    </xf>
    <xf numFmtId="166" fontId="45" fillId="60" borderId="33" xfId="161" applyNumberFormat="1" applyFont="1" applyFill="1" applyBorder="1" applyAlignment="1">
      <alignment horizontal="center" vertical="center" wrapText="1"/>
    </xf>
    <xf numFmtId="166" fontId="45" fillId="60" borderId="29" xfId="161" applyNumberFormat="1" applyFont="1" applyFill="1" applyBorder="1" applyAlignment="1">
      <alignment horizontal="center" vertical="center" wrapText="1"/>
    </xf>
    <xf numFmtId="166" fontId="45" fillId="60" borderId="22" xfId="161" applyNumberFormat="1" applyFont="1" applyFill="1" applyBorder="1" applyAlignment="1">
      <alignment horizontal="center" vertical="center" wrapText="1"/>
    </xf>
    <xf numFmtId="166" fontId="45" fillId="60" borderId="28" xfId="161" applyNumberFormat="1" applyFont="1" applyFill="1" applyBorder="1" applyAlignment="1">
      <alignment horizontal="center" vertical="center" wrapText="1"/>
    </xf>
    <xf numFmtId="0" fontId="3" fillId="0" borderId="13" xfId="161" applyFont="1" applyFill="1" applyBorder="1" applyAlignment="1">
      <alignment horizontal="center" vertical="center"/>
    </xf>
    <xf numFmtId="0" fontId="3" fillId="0" borderId="0" xfId="161" applyFont="1" applyFill="1" applyBorder="1" applyAlignment="1">
      <alignment horizontal="center" vertical="center"/>
    </xf>
    <xf numFmtId="0" fontId="45" fillId="0" borderId="42" xfId="161" applyFont="1" applyFill="1" applyBorder="1" applyAlignment="1">
      <alignment horizontal="center" vertical="center"/>
    </xf>
    <xf numFmtId="0" fontId="45" fillId="0" borderId="15" xfId="161" applyFont="1" applyFill="1" applyBorder="1" applyAlignment="1">
      <alignment horizontal="center" vertical="center"/>
    </xf>
    <xf numFmtId="0" fontId="45" fillId="0" borderId="23" xfId="161" applyFont="1" applyFill="1" applyBorder="1" applyAlignment="1">
      <alignment horizontal="center" vertical="center"/>
    </xf>
    <xf numFmtId="0" fontId="45" fillId="0" borderId="14" xfId="161" applyFont="1" applyFill="1" applyBorder="1" applyAlignment="1">
      <alignment horizontal="center" vertical="center"/>
    </xf>
    <xf numFmtId="0" fontId="45" fillId="0" borderId="10" xfId="161" applyFont="1" applyFill="1" applyBorder="1" applyAlignment="1">
      <alignment horizontal="center" vertical="center"/>
    </xf>
    <xf numFmtId="0" fontId="45" fillId="0" borderId="12" xfId="161" applyFont="1" applyFill="1" applyBorder="1" applyAlignment="1">
      <alignment horizontal="center" vertical="center"/>
    </xf>
    <xf numFmtId="0" fontId="107" fillId="58" borderId="31" xfId="161" applyFont="1" applyFill="1" applyBorder="1" applyAlignment="1">
      <alignment horizontal="center" vertical="center"/>
    </xf>
    <xf numFmtId="0" fontId="3" fillId="0" borderId="13" xfId="161" applyFont="1" applyBorder="1" applyAlignment="1">
      <alignment horizontal="center" vertical="center"/>
    </xf>
    <xf numFmtId="0" fontId="3" fillId="0" borderId="0" xfId="161" applyFont="1" applyBorder="1" applyAlignment="1">
      <alignment horizontal="center" vertical="center"/>
    </xf>
    <xf numFmtId="0" fontId="45" fillId="0" borderId="32" xfId="161" applyFont="1" applyFill="1" applyBorder="1" applyAlignment="1">
      <alignment horizontal="justify" vertical="center" wrapText="1"/>
    </xf>
    <xf numFmtId="0" fontId="45" fillId="0" borderId="33" xfId="161" applyFont="1" applyFill="1" applyBorder="1" applyAlignment="1">
      <alignment horizontal="justify" vertical="center" wrapText="1"/>
    </xf>
    <xf numFmtId="49" fontId="107" fillId="60" borderId="42" xfId="161" applyNumberFormat="1" applyFont="1" applyFill="1" applyBorder="1" applyAlignment="1">
      <alignment horizontal="center" vertical="center" wrapText="1"/>
    </xf>
    <xf numFmtId="49" fontId="107" fillId="60" borderId="15" xfId="161" applyNumberFormat="1" applyFont="1" applyFill="1" applyBorder="1" applyAlignment="1">
      <alignment horizontal="center" vertical="center" wrapText="1"/>
    </xf>
    <xf numFmtId="49" fontId="107" fillId="60" borderId="23" xfId="161" applyNumberFormat="1" applyFont="1" applyFill="1" applyBorder="1" applyAlignment="1">
      <alignment horizontal="center" vertical="center" wrapText="1"/>
    </xf>
    <xf numFmtId="10" fontId="47" fillId="0" borderId="43" xfId="324" applyNumberFormat="1" applyFont="1" applyBorder="1" applyAlignment="1">
      <alignment horizontal="center" vertical="center" wrapText="1"/>
    </xf>
    <xf numFmtId="10" fontId="47" fillId="0" borderId="61" xfId="324" applyNumberFormat="1" applyFont="1" applyBorder="1" applyAlignment="1">
      <alignment horizontal="center" vertical="center" wrapText="1"/>
    </xf>
    <xf numFmtId="0" fontId="47" fillId="0" borderId="34" xfId="161" applyFont="1" applyBorder="1" applyAlignment="1">
      <alignment horizontal="center" vertical="center" wrapText="1"/>
    </xf>
    <xf numFmtId="0" fontId="47" fillId="0" borderId="62" xfId="161" applyFont="1" applyBorder="1" applyAlignment="1">
      <alignment horizontal="center" vertical="center" wrapText="1"/>
    </xf>
    <xf numFmtId="0" fontId="47" fillId="0" borderId="44" xfId="161" applyFont="1" applyBorder="1" applyAlignment="1">
      <alignment horizontal="center" vertical="center" wrapText="1"/>
    </xf>
    <xf numFmtId="0" fontId="47" fillId="0" borderId="63" xfId="161" applyFont="1" applyBorder="1" applyAlignment="1">
      <alignment horizontal="center" vertical="center" wrapText="1"/>
    </xf>
    <xf numFmtId="10" fontId="3" fillId="0" borderId="51" xfId="324" applyNumberFormat="1" applyFont="1" applyBorder="1" applyAlignment="1">
      <alignment horizontal="center" vertical="center"/>
    </xf>
    <xf numFmtId="10" fontId="3" fillId="0" borderId="50" xfId="324" applyNumberFormat="1" applyFont="1" applyBorder="1" applyAlignment="1">
      <alignment horizontal="center" vertical="center"/>
    </xf>
    <xf numFmtId="10" fontId="3" fillId="0" borderId="57" xfId="324" applyNumberFormat="1" applyFont="1" applyBorder="1" applyAlignment="1">
      <alignment horizontal="center" vertical="center"/>
    </xf>
    <xf numFmtId="10" fontId="3" fillId="0" borderId="26" xfId="324" applyNumberFormat="1" applyFont="1" applyBorder="1" applyAlignment="1">
      <alignment horizontal="center" vertical="center"/>
    </xf>
    <xf numFmtId="10" fontId="3" fillId="0" borderId="54" xfId="324" applyNumberFormat="1" applyFont="1" applyBorder="1" applyAlignment="1">
      <alignment horizontal="center" vertical="center"/>
    </xf>
    <xf numFmtId="10" fontId="3" fillId="0" borderId="53" xfId="324" applyNumberFormat="1" applyFont="1" applyBorder="1" applyAlignment="1">
      <alignment horizontal="center" vertical="center"/>
    </xf>
    <xf numFmtId="0" fontId="3" fillId="0" borderId="13" xfId="161" applyFont="1" applyBorder="1" applyAlignment="1">
      <alignment vertical="center"/>
    </xf>
    <xf numFmtId="0" fontId="3" fillId="0" borderId="0" xfId="161" applyFont="1" applyBorder="1" applyAlignment="1">
      <alignment vertical="center"/>
    </xf>
    <xf numFmtId="0" fontId="37" fillId="0" borderId="51" xfId="161" applyFont="1" applyBorder="1" applyAlignment="1">
      <alignment horizontal="center"/>
    </xf>
    <xf numFmtId="0" fontId="37" fillId="0" borderId="50" xfId="161" applyFont="1" applyBorder="1" applyAlignment="1">
      <alignment horizontal="center"/>
    </xf>
    <xf numFmtId="49" fontId="108" fillId="60" borderId="35" xfId="161" applyNumberFormat="1" applyFont="1" applyFill="1" applyBorder="1" applyAlignment="1">
      <alignment horizontal="center" vertical="center"/>
    </xf>
    <xf numFmtId="49" fontId="108" fillId="60" borderId="21" xfId="161" applyNumberFormat="1" applyFont="1" applyFill="1" applyBorder="1" applyAlignment="1">
      <alignment horizontal="center" vertical="center"/>
    </xf>
    <xf numFmtId="49" fontId="108" fillId="60" borderId="27" xfId="161" applyNumberFormat="1" applyFont="1" applyFill="1" applyBorder="1" applyAlignment="1">
      <alignment horizontal="center" vertical="center"/>
    </xf>
    <xf numFmtId="49" fontId="107" fillId="60" borderId="37" xfId="161" applyNumberFormat="1" applyFont="1" applyFill="1" applyBorder="1" applyAlignment="1">
      <alignment horizontal="center" vertical="center" wrapText="1"/>
    </xf>
    <xf numFmtId="49" fontId="107" fillId="60" borderId="32" xfId="161" applyNumberFormat="1" applyFont="1" applyFill="1" applyBorder="1" applyAlignment="1">
      <alignment horizontal="center" vertical="center" wrapText="1"/>
    </xf>
    <xf numFmtId="49" fontId="107" fillId="60" borderId="51" xfId="161" applyNumberFormat="1" applyFont="1" applyFill="1" applyBorder="1" applyAlignment="1">
      <alignment horizontal="center" vertical="center" wrapText="1"/>
    </xf>
    <xf numFmtId="49" fontId="107" fillId="60" borderId="33" xfId="161" applyNumberFormat="1" applyFont="1" applyFill="1" applyBorder="1" applyAlignment="1">
      <alignment horizontal="center" vertical="center" wrapText="1"/>
    </xf>
    <xf numFmtId="49" fontId="107" fillId="60" borderId="29" xfId="161" applyNumberFormat="1" applyFont="1" applyFill="1" applyBorder="1" applyAlignment="1">
      <alignment horizontal="center" vertical="center" wrapText="1"/>
    </xf>
    <xf numFmtId="49" fontId="107" fillId="60" borderId="22" xfId="161" applyNumberFormat="1" applyFont="1" applyFill="1" applyBorder="1" applyAlignment="1">
      <alignment horizontal="center" vertical="center" wrapText="1"/>
    </xf>
    <xf numFmtId="49" fontId="107" fillId="60" borderId="57" xfId="161" applyNumberFormat="1" applyFont="1" applyFill="1" applyBorder="1" applyAlignment="1">
      <alignment horizontal="center" vertical="center" wrapText="1"/>
    </xf>
    <xf numFmtId="49" fontId="107" fillId="60" borderId="28" xfId="161" applyNumberFormat="1" applyFont="1" applyFill="1" applyBorder="1" applyAlignment="1">
      <alignment horizontal="center" vertical="center" wrapText="1"/>
    </xf>
    <xf numFmtId="0" fontId="107" fillId="0" borderId="36" xfId="161" applyFont="1" applyFill="1" applyBorder="1" applyAlignment="1">
      <alignment horizontal="center" vertical="center"/>
    </xf>
    <xf numFmtId="0" fontId="107" fillId="0" borderId="30" xfId="161" applyFont="1" applyFill="1" applyBorder="1" applyAlignment="1">
      <alignment horizontal="center" vertical="center"/>
    </xf>
    <xf numFmtId="0" fontId="107" fillId="0" borderId="24" xfId="161" applyFont="1" applyFill="1" applyBorder="1" applyAlignment="1">
      <alignment horizontal="center" vertical="center"/>
    </xf>
    <xf numFmtId="0" fontId="107" fillId="0" borderId="31" xfId="161" applyFont="1" applyFill="1" applyBorder="1" applyAlignment="1">
      <alignment horizontal="center" vertical="center"/>
    </xf>
    <xf numFmtId="0" fontId="107" fillId="0" borderId="25" xfId="161" applyFont="1" applyFill="1" applyBorder="1" applyAlignment="1">
      <alignment horizontal="center" vertical="center"/>
    </xf>
    <xf numFmtId="0" fontId="107" fillId="0" borderId="41" xfId="161" applyFont="1" applyFill="1" applyBorder="1" applyAlignment="1">
      <alignment horizontal="center" vertical="center"/>
    </xf>
    <xf numFmtId="0" fontId="107" fillId="58" borderId="54" xfId="161" applyFont="1" applyFill="1" applyBorder="1" applyAlignment="1">
      <alignment horizontal="center" vertical="center"/>
    </xf>
    <xf numFmtId="0" fontId="107" fillId="58" borderId="53" xfId="161" applyFont="1" applyFill="1" applyBorder="1" applyAlignment="1">
      <alignment horizontal="center" vertical="center"/>
    </xf>
    <xf numFmtId="0" fontId="47" fillId="0" borderId="0" xfId="161" applyFont="1" applyFill="1" applyBorder="1" applyAlignment="1">
      <alignment horizontal="center" vertical="center" textRotation="90"/>
    </xf>
    <xf numFmtId="0" fontId="45" fillId="60" borderId="35" xfId="161" applyFont="1" applyFill="1" applyBorder="1" applyAlignment="1">
      <alignment horizontal="left" vertical="center" wrapText="1"/>
    </xf>
    <xf numFmtId="0" fontId="45" fillId="60" borderId="27" xfId="161" applyFont="1" applyFill="1" applyBorder="1" applyAlignment="1">
      <alignment horizontal="left" vertical="center" wrapText="1"/>
    </xf>
    <xf numFmtId="0" fontId="45" fillId="60" borderId="38" xfId="161" applyFont="1" applyFill="1" applyBorder="1" applyAlignment="1">
      <alignment horizontal="left" vertical="center"/>
    </xf>
    <xf numFmtId="0" fontId="45" fillId="60" borderId="18" xfId="161" applyFont="1" applyFill="1" applyBorder="1" applyAlignment="1">
      <alignment horizontal="left" vertical="center"/>
    </xf>
    <xf numFmtId="172" fontId="106" fillId="0" borderId="0" xfId="161" applyNumberFormat="1" applyFont="1" applyFill="1" applyBorder="1" applyAlignment="1">
      <alignment horizontal="center" vertical="center"/>
    </xf>
    <xf numFmtId="0" fontId="104" fillId="0" borderId="42" xfId="161" applyFont="1" applyBorder="1" applyAlignment="1">
      <alignment horizontal="center"/>
    </xf>
    <xf numFmtId="0" fontId="104" fillId="0" borderId="15" xfId="161" applyFont="1" applyBorder="1" applyAlignment="1">
      <alignment horizontal="center"/>
    </xf>
    <xf numFmtId="0" fontId="46" fillId="0" borderId="13" xfId="161" applyFont="1" applyBorder="1" applyAlignment="1">
      <alignment horizontal="center"/>
    </xf>
    <xf numFmtId="0" fontId="46" fillId="0" borderId="0" xfId="161" applyFont="1" applyBorder="1" applyAlignment="1">
      <alignment horizontal="center"/>
    </xf>
    <xf numFmtId="0" fontId="33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204" applyNumberFormat="1" applyFont="1" applyFill="1" applyBorder="1" applyAlignment="1" applyProtection="1">
      <alignment horizontal="left" vertical="center" wrapText="1"/>
      <protection locked="0"/>
    </xf>
    <xf numFmtId="0" fontId="6" fillId="0" borderId="0" xfId="142" applyNumberFormat="1" applyFont="1" applyFill="1" applyBorder="1" applyAlignment="1" applyProtection="1">
      <alignment horizontal="center" wrapText="1"/>
      <protection locked="0"/>
    </xf>
    <xf numFmtId="0" fontId="44" fillId="0" borderId="0" xfId="161" applyFont="1" applyBorder="1" applyAlignment="1">
      <alignment horizontal="center"/>
    </xf>
    <xf numFmtId="0" fontId="6" fillId="0" borderId="46" xfId="204" applyNumberFormat="1" applyFont="1" applyFill="1" applyBorder="1" applyAlignment="1" applyProtection="1">
      <alignment horizontal="left" vertical="center"/>
      <protection locked="0"/>
    </xf>
    <xf numFmtId="0" fontId="6" fillId="0" borderId="39" xfId="204" applyNumberFormat="1" applyFont="1" applyFill="1" applyBorder="1" applyAlignment="1" applyProtection="1">
      <alignment horizontal="left" vertical="center"/>
      <protection locked="0"/>
    </xf>
    <xf numFmtId="39" fontId="6" fillId="0" borderId="39" xfId="95" applyNumberFormat="1" applyFont="1" applyFill="1" applyBorder="1" applyAlignment="1" applyProtection="1">
      <alignment horizontal="center" wrapText="1"/>
      <protection locked="0"/>
    </xf>
    <xf numFmtId="0" fontId="44" fillId="0" borderId="40" xfId="161" applyFont="1" applyBorder="1" applyAlignment="1">
      <alignment horizontal="center"/>
    </xf>
    <xf numFmtId="0" fontId="48" fillId="60" borderId="42" xfId="161" applyFont="1" applyFill="1" applyBorder="1" applyAlignment="1">
      <alignment horizontal="center" vertical="center"/>
    </xf>
    <xf numFmtId="0" fontId="48" fillId="60" borderId="15" xfId="161" applyFont="1" applyFill="1" applyBorder="1" applyAlignment="1">
      <alignment horizontal="center" vertical="center"/>
    </xf>
    <xf numFmtId="0" fontId="48" fillId="60" borderId="23" xfId="161" applyFont="1" applyFill="1" applyBorder="1" applyAlignment="1">
      <alignment horizontal="center" vertical="center"/>
    </xf>
    <xf numFmtId="0" fontId="48" fillId="60" borderId="14" xfId="161" applyFont="1" applyFill="1" applyBorder="1" applyAlignment="1">
      <alignment horizontal="center" vertical="center"/>
    </xf>
    <xf numFmtId="0" fontId="48" fillId="60" borderId="10" xfId="161" applyFont="1" applyFill="1" applyBorder="1" applyAlignment="1">
      <alignment horizontal="center" vertical="center"/>
    </xf>
    <xf numFmtId="0" fontId="48" fillId="60" borderId="12" xfId="161" applyFont="1" applyFill="1" applyBorder="1" applyAlignment="1">
      <alignment horizontal="center" vertical="center"/>
    </xf>
  </cellXfs>
  <cellStyles count="360">
    <cellStyle name="0,0_x000d__x000a_NA_x000d__x000a_" xfId="1" xr:uid="{00000000-0005-0000-0000-000000000000}"/>
    <cellStyle name="20% - Ênfase1" xfId="2" builtinId="30" customBuiltin="1"/>
    <cellStyle name="20% - Ênfase1 2" xfId="3" xr:uid="{00000000-0005-0000-0000-000002000000}"/>
    <cellStyle name="20% - Ênfase1 3" xfId="4" xr:uid="{00000000-0005-0000-0000-000003000000}"/>
    <cellStyle name="20% - Ênfase2" xfId="5" builtinId="34" customBuiltin="1"/>
    <cellStyle name="20% - Ênfase2 2" xfId="6" xr:uid="{00000000-0005-0000-0000-000005000000}"/>
    <cellStyle name="20% - Ênfase2 3" xfId="7" xr:uid="{00000000-0005-0000-0000-000006000000}"/>
    <cellStyle name="20% - Ênfase3" xfId="8" builtinId="38" customBuiltin="1"/>
    <cellStyle name="20% - Ênfase3 2" xfId="9" xr:uid="{00000000-0005-0000-0000-000008000000}"/>
    <cellStyle name="20% - Ênfase3 3" xfId="10" xr:uid="{00000000-0005-0000-0000-000009000000}"/>
    <cellStyle name="20% - Ênfase4" xfId="11" builtinId="42" customBuiltin="1"/>
    <cellStyle name="20% - Ênfase4 2" xfId="12" xr:uid="{00000000-0005-0000-0000-00000B000000}"/>
    <cellStyle name="20% - Ênfase4 3" xfId="13" xr:uid="{00000000-0005-0000-0000-00000C000000}"/>
    <cellStyle name="20% - Ênfase5" xfId="14" builtinId="46" customBuiltin="1"/>
    <cellStyle name="20% - Ênfase5 2" xfId="15" xr:uid="{00000000-0005-0000-0000-00000E000000}"/>
    <cellStyle name="20% - Ênfase5 3" xfId="16" xr:uid="{00000000-0005-0000-0000-00000F000000}"/>
    <cellStyle name="20% - Ênfase6" xfId="17" builtinId="50" customBuiltin="1"/>
    <cellStyle name="20% - Ênfase6 2" xfId="18" xr:uid="{00000000-0005-0000-0000-000011000000}"/>
    <cellStyle name="20% - Ênfase6 3" xfId="19" xr:uid="{00000000-0005-0000-0000-000012000000}"/>
    <cellStyle name="40% - Ênfase1" xfId="20" builtinId="31" customBuiltin="1"/>
    <cellStyle name="40% - Ênfase1 2" xfId="21" xr:uid="{00000000-0005-0000-0000-000014000000}"/>
    <cellStyle name="40% - Ênfase1 3" xfId="22" xr:uid="{00000000-0005-0000-0000-000015000000}"/>
    <cellStyle name="40% - Ênfase2" xfId="23" builtinId="35" customBuiltin="1"/>
    <cellStyle name="40% - Ênfase2 2" xfId="24" xr:uid="{00000000-0005-0000-0000-000017000000}"/>
    <cellStyle name="40% - Ênfase2 3" xfId="25" xr:uid="{00000000-0005-0000-0000-000018000000}"/>
    <cellStyle name="40% - Ênfase3" xfId="26" builtinId="39" customBuiltin="1"/>
    <cellStyle name="40% - Ênfase3 2" xfId="27" xr:uid="{00000000-0005-0000-0000-00001A000000}"/>
    <cellStyle name="40% - Ênfase3 3" xfId="28" xr:uid="{00000000-0005-0000-0000-00001B000000}"/>
    <cellStyle name="40% - Ênfase4" xfId="29" builtinId="43" customBuiltin="1"/>
    <cellStyle name="40% - Ênfase4 2" xfId="30" xr:uid="{00000000-0005-0000-0000-00001D000000}"/>
    <cellStyle name="40% - Ênfase4 3" xfId="31" xr:uid="{00000000-0005-0000-0000-00001E000000}"/>
    <cellStyle name="40% - Ênfase5" xfId="32" builtinId="47" customBuiltin="1"/>
    <cellStyle name="40% - Ênfase5 2" xfId="33" xr:uid="{00000000-0005-0000-0000-000020000000}"/>
    <cellStyle name="40% - Ênfase5 3" xfId="34" xr:uid="{00000000-0005-0000-0000-000021000000}"/>
    <cellStyle name="40% - Ênfase6" xfId="35" builtinId="51" customBuiltin="1"/>
    <cellStyle name="40% - Ênfase6 2" xfId="36" xr:uid="{00000000-0005-0000-0000-000023000000}"/>
    <cellStyle name="40% - Ênfase6 3" xfId="37" xr:uid="{00000000-0005-0000-0000-000024000000}"/>
    <cellStyle name="60% - Ênfase1" xfId="38" builtinId="32" customBuiltin="1"/>
    <cellStyle name="60% - Ênfase1 2" xfId="39" xr:uid="{00000000-0005-0000-0000-000026000000}"/>
    <cellStyle name="60% - Ênfase1 3" xfId="40" xr:uid="{00000000-0005-0000-0000-000027000000}"/>
    <cellStyle name="60% - Ênfase2" xfId="41" builtinId="36" customBuiltin="1"/>
    <cellStyle name="60% - Ênfase2 2" xfId="42" xr:uid="{00000000-0005-0000-0000-000029000000}"/>
    <cellStyle name="60% - Ênfase2 3" xfId="43" xr:uid="{00000000-0005-0000-0000-00002A000000}"/>
    <cellStyle name="60% - Ênfase3" xfId="44" builtinId="40" customBuiltin="1"/>
    <cellStyle name="60% - Ênfase3 2" xfId="45" xr:uid="{00000000-0005-0000-0000-00002C000000}"/>
    <cellStyle name="60% - Ênfase3 3" xfId="46" xr:uid="{00000000-0005-0000-0000-00002D000000}"/>
    <cellStyle name="60% - Ênfase4" xfId="47" builtinId="44" customBuiltin="1"/>
    <cellStyle name="60% - Ênfase4 2" xfId="48" xr:uid="{00000000-0005-0000-0000-00002F000000}"/>
    <cellStyle name="60% - Ênfase4 3" xfId="49" xr:uid="{00000000-0005-0000-0000-000030000000}"/>
    <cellStyle name="60% - Ênfase5" xfId="50" builtinId="48" customBuiltin="1"/>
    <cellStyle name="60% - Ênfase5 2" xfId="51" xr:uid="{00000000-0005-0000-0000-000032000000}"/>
    <cellStyle name="60% - Ênfase5 3" xfId="52" xr:uid="{00000000-0005-0000-0000-000033000000}"/>
    <cellStyle name="60% - Ênfase6" xfId="53" builtinId="52" customBuiltin="1"/>
    <cellStyle name="60% - Ênfase6 2" xfId="54" xr:uid="{00000000-0005-0000-0000-000035000000}"/>
    <cellStyle name="60% - Ênfase6 3" xfId="55" xr:uid="{00000000-0005-0000-0000-000036000000}"/>
    <cellStyle name="Bom" xfId="56" builtinId="26" customBuiltin="1"/>
    <cellStyle name="Bom 2" xfId="57" xr:uid="{00000000-0005-0000-0000-000038000000}"/>
    <cellStyle name="Bom 3" xfId="58" xr:uid="{00000000-0005-0000-0000-000039000000}"/>
    <cellStyle name="Cálculo" xfId="59" builtinId="22" customBuiltin="1"/>
    <cellStyle name="Cálculo 2" xfId="60" xr:uid="{00000000-0005-0000-0000-00003B000000}"/>
    <cellStyle name="Cálculo 3" xfId="61" xr:uid="{00000000-0005-0000-0000-00003C000000}"/>
    <cellStyle name="Célula de Verificação" xfId="62" builtinId="23" customBuiltin="1"/>
    <cellStyle name="Célula de Verificação 2" xfId="63" xr:uid="{00000000-0005-0000-0000-00003E000000}"/>
    <cellStyle name="Célula de Verificação 3" xfId="64" xr:uid="{00000000-0005-0000-0000-00003F000000}"/>
    <cellStyle name="Célula Vinculada" xfId="65" builtinId="24" customBuiltin="1"/>
    <cellStyle name="Célula Vinculada 2" xfId="66" xr:uid="{00000000-0005-0000-0000-000041000000}"/>
    <cellStyle name="Célula Vinculada 3" xfId="67" xr:uid="{00000000-0005-0000-0000-000042000000}"/>
    <cellStyle name="Ênfase1" xfId="68" builtinId="29" customBuiltin="1"/>
    <cellStyle name="Ênfase1 2" xfId="69" xr:uid="{00000000-0005-0000-0000-000044000000}"/>
    <cellStyle name="Ênfase1 3" xfId="70" xr:uid="{00000000-0005-0000-0000-000045000000}"/>
    <cellStyle name="Ênfase2" xfId="71" builtinId="33" customBuiltin="1"/>
    <cellStyle name="Ênfase2 2" xfId="72" xr:uid="{00000000-0005-0000-0000-000047000000}"/>
    <cellStyle name="Ênfase2 3" xfId="73" xr:uid="{00000000-0005-0000-0000-000048000000}"/>
    <cellStyle name="Ênfase3" xfId="74" builtinId="37" customBuiltin="1"/>
    <cellStyle name="Ênfase3 2" xfId="75" xr:uid="{00000000-0005-0000-0000-00004A000000}"/>
    <cellStyle name="Ênfase3 3" xfId="76" xr:uid="{00000000-0005-0000-0000-00004B000000}"/>
    <cellStyle name="Ênfase4" xfId="77" builtinId="41" customBuiltin="1"/>
    <cellStyle name="Ênfase4 2" xfId="78" xr:uid="{00000000-0005-0000-0000-00004D000000}"/>
    <cellStyle name="Ênfase4 3" xfId="79" xr:uid="{00000000-0005-0000-0000-00004E000000}"/>
    <cellStyle name="Ênfase5" xfId="80" builtinId="45" customBuiltin="1"/>
    <cellStyle name="Ênfase5 2" xfId="81" xr:uid="{00000000-0005-0000-0000-000050000000}"/>
    <cellStyle name="Ênfase5 3" xfId="82" xr:uid="{00000000-0005-0000-0000-000051000000}"/>
    <cellStyle name="Ênfase6" xfId="83" builtinId="49" customBuiltin="1"/>
    <cellStyle name="Ênfase6 2" xfId="84" xr:uid="{00000000-0005-0000-0000-000053000000}"/>
    <cellStyle name="Ênfase6 3" xfId="85" xr:uid="{00000000-0005-0000-0000-000054000000}"/>
    <cellStyle name="Entrada" xfId="86" builtinId="20" customBuiltin="1"/>
    <cellStyle name="Entrada 2" xfId="87" xr:uid="{00000000-0005-0000-0000-000056000000}"/>
    <cellStyle name="Entrada 3" xfId="88" xr:uid="{00000000-0005-0000-0000-000057000000}"/>
    <cellStyle name="Hiperlink 2" xfId="89" xr:uid="{00000000-0005-0000-0000-000058000000}"/>
    <cellStyle name="Incorreto 2" xfId="90" xr:uid="{00000000-0005-0000-0000-000059000000}"/>
    <cellStyle name="Incorreto 3" xfId="91" xr:uid="{00000000-0005-0000-0000-00005A000000}"/>
    <cellStyle name="Indefinido" xfId="92" xr:uid="{00000000-0005-0000-0000-00005B000000}"/>
    <cellStyle name="Moeda" xfId="93" builtinId="4"/>
    <cellStyle name="Moeda 2" xfId="94" xr:uid="{00000000-0005-0000-0000-00005D000000}"/>
    <cellStyle name="Moeda 2 2" xfId="95" xr:uid="{00000000-0005-0000-0000-00005E000000}"/>
    <cellStyle name="Moeda 2 2 2" xfId="96" xr:uid="{00000000-0005-0000-0000-00005F000000}"/>
    <cellStyle name="Moeda 2 3" xfId="97" xr:uid="{00000000-0005-0000-0000-000060000000}"/>
    <cellStyle name="Moeda 2 4" xfId="98" xr:uid="{00000000-0005-0000-0000-000061000000}"/>
    <cellStyle name="Moeda 2 5" xfId="99" xr:uid="{00000000-0005-0000-0000-000062000000}"/>
    <cellStyle name="Moeda 2 5 2" xfId="100" xr:uid="{00000000-0005-0000-0000-000063000000}"/>
    <cellStyle name="Moeda 2 5 2 2" xfId="101" xr:uid="{00000000-0005-0000-0000-000064000000}"/>
    <cellStyle name="Moeda 2 5 3" xfId="102" xr:uid="{00000000-0005-0000-0000-000065000000}"/>
    <cellStyle name="Moeda 2 6" xfId="103" xr:uid="{00000000-0005-0000-0000-000066000000}"/>
    <cellStyle name="Moeda 2 6 2" xfId="104" xr:uid="{00000000-0005-0000-0000-000067000000}"/>
    <cellStyle name="Moeda 2 6 2 2" xfId="105" xr:uid="{00000000-0005-0000-0000-000068000000}"/>
    <cellStyle name="Moeda 2 6 3" xfId="106" xr:uid="{00000000-0005-0000-0000-000069000000}"/>
    <cellStyle name="Moeda 2 6 3 2" xfId="107" xr:uid="{00000000-0005-0000-0000-00006A000000}"/>
    <cellStyle name="Moeda 2 6 4" xfId="108" xr:uid="{00000000-0005-0000-0000-00006B000000}"/>
    <cellStyle name="Moeda 3" xfId="109" xr:uid="{00000000-0005-0000-0000-00006C000000}"/>
    <cellStyle name="Moeda 3 2" xfId="110" xr:uid="{00000000-0005-0000-0000-00006D000000}"/>
    <cellStyle name="Moeda 4" xfId="111" xr:uid="{00000000-0005-0000-0000-00006E000000}"/>
    <cellStyle name="Moeda 7" xfId="112" xr:uid="{00000000-0005-0000-0000-00006F000000}"/>
    <cellStyle name="Neutra 2" xfId="113" xr:uid="{00000000-0005-0000-0000-000070000000}"/>
    <cellStyle name="Neutra 3" xfId="114" xr:uid="{00000000-0005-0000-0000-000071000000}"/>
    <cellStyle name="Normal" xfId="0" builtinId="0"/>
    <cellStyle name="Normal 10" xfId="115" xr:uid="{00000000-0005-0000-0000-000073000000}"/>
    <cellStyle name="Normal 10 2" xfId="116" xr:uid="{00000000-0005-0000-0000-000074000000}"/>
    <cellStyle name="Normal 10 2 2" xfId="117" xr:uid="{00000000-0005-0000-0000-000075000000}"/>
    <cellStyle name="Normal 11" xfId="118" xr:uid="{00000000-0005-0000-0000-000076000000}"/>
    <cellStyle name="Normal 12" xfId="358" xr:uid="{03306BDB-D41A-4AD5-A03E-DFDD88F921EC}"/>
    <cellStyle name="Normal 13" xfId="359" xr:uid="{F4DA8015-5A4C-4C8D-BF03-063BC21AEAC6}"/>
    <cellStyle name="Normal 2" xfId="119" xr:uid="{00000000-0005-0000-0000-000077000000}"/>
    <cellStyle name="Normal 2 2" xfId="120" xr:uid="{00000000-0005-0000-0000-000078000000}"/>
    <cellStyle name="Normal 2 2 2" xfId="121" xr:uid="{00000000-0005-0000-0000-000079000000}"/>
    <cellStyle name="Normal 2 2 3" xfId="122" xr:uid="{00000000-0005-0000-0000-00007A000000}"/>
    <cellStyle name="Normal 2 3" xfId="123" xr:uid="{00000000-0005-0000-0000-00007B000000}"/>
    <cellStyle name="Normal 2 4" xfId="124" xr:uid="{00000000-0005-0000-0000-00007C000000}"/>
    <cellStyle name="Normal 3" xfId="125" xr:uid="{00000000-0005-0000-0000-00007D000000}"/>
    <cellStyle name="Normal 3 2" xfId="126" xr:uid="{00000000-0005-0000-0000-00007E000000}"/>
    <cellStyle name="Normal 3 2 4" xfId="127" xr:uid="{00000000-0005-0000-0000-00007F000000}"/>
    <cellStyle name="Normal 3 3" xfId="128" xr:uid="{00000000-0005-0000-0000-000080000000}"/>
    <cellStyle name="Normal 4" xfId="129" xr:uid="{00000000-0005-0000-0000-000081000000}"/>
    <cellStyle name="Normal 4 10" xfId="130" xr:uid="{00000000-0005-0000-0000-000082000000}"/>
    <cellStyle name="Normal 4 10 2" xfId="131" xr:uid="{00000000-0005-0000-0000-000083000000}"/>
    <cellStyle name="Normal 4 11" xfId="132" xr:uid="{00000000-0005-0000-0000-000084000000}"/>
    <cellStyle name="Normal 4 11 2" xfId="133" xr:uid="{00000000-0005-0000-0000-000085000000}"/>
    <cellStyle name="Normal 4 12" xfId="134" xr:uid="{00000000-0005-0000-0000-000086000000}"/>
    <cellStyle name="Normal 4 12 2" xfId="135" xr:uid="{00000000-0005-0000-0000-000087000000}"/>
    <cellStyle name="Normal 4 13" xfId="136" xr:uid="{00000000-0005-0000-0000-000088000000}"/>
    <cellStyle name="Normal 4 13 2" xfId="137" xr:uid="{00000000-0005-0000-0000-000089000000}"/>
    <cellStyle name="Normal 4 14" xfId="138" xr:uid="{00000000-0005-0000-0000-00008A000000}"/>
    <cellStyle name="Normal 4 14 2" xfId="139" xr:uid="{00000000-0005-0000-0000-00008B000000}"/>
    <cellStyle name="Normal 4 15" xfId="140" xr:uid="{00000000-0005-0000-0000-00008C000000}"/>
    <cellStyle name="Normal 4 15 2" xfId="141" xr:uid="{00000000-0005-0000-0000-00008D000000}"/>
    <cellStyle name="Normal 4 2" xfId="142" xr:uid="{00000000-0005-0000-0000-00008E000000}"/>
    <cellStyle name="Normal 4 2 2" xfId="143" xr:uid="{00000000-0005-0000-0000-00008F000000}"/>
    <cellStyle name="Normal 4 2 3" xfId="144" xr:uid="{00000000-0005-0000-0000-000090000000}"/>
    <cellStyle name="Normal 4 3" xfId="145" xr:uid="{00000000-0005-0000-0000-000091000000}"/>
    <cellStyle name="Normal 4 4" xfId="146" xr:uid="{00000000-0005-0000-0000-000092000000}"/>
    <cellStyle name="Normal 4 4 2" xfId="147" xr:uid="{00000000-0005-0000-0000-000093000000}"/>
    <cellStyle name="Normal 4 4 3" xfId="148" xr:uid="{00000000-0005-0000-0000-000094000000}"/>
    <cellStyle name="Normal 4 5" xfId="149" xr:uid="{00000000-0005-0000-0000-000095000000}"/>
    <cellStyle name="Normal 4 5 2" xfId="150" xr:uid="{00000000-0005-0000-0000-000096000000}"/>
    <cellStyle name="Normal 4 6" xfId="151" xr:uid="{00000000-0005-0000-0000-000097000000}"/>
    <cellStyle name="Normal 4 7" xfId="152" xr:uid="{00000000-0005-0000-0000-000098000000}"/>
    <cellStyle name="Normal 4 7 2" xfId="153" xr:uid="{00000000-0005-0000-0000-000099000000}"/>
    <cellStyle name="Normal 4 7 3" xfId="154" xr:uid="{00000000-0005-0000-0000-00009A000000}"/>
    <cellStyle name="Normal 4 8" xfId="155" xr:uid="{00000000-0005-0000-0000-00009B000000}"/>
    <cellStyle name="Normal 4 8 2" xfId="156" xr:uid="{00000000-0005-0000-0000-00009C000000}"/>
    <cellStyle name="Normal 4 9" xfId="157" xr:uid="{00000000-0005-0000-0000-00009D000000}"/>
    <cellStyle name="Normal 4__ORÇAMENTO" xfId="158" xr:uid="{00000000-0005-0000-0000-00009E000000}"/>
    <cellStyle name="Normal 5" xfId="159" xr:uid="{00000000-0005-0000-0000-00009F000000}"/>
    <cellStyle name="Normal 5 2" xfId="160" xr:uid="{00000000-0005-0000-0000-0000A0000000}"/>
    <cellStyle name="Normal 6" xfId="161" xr:uid="{00000000-0005-0000-0000-0000A1000000}"/>
    <cellStyle name="Normal 6 2" xfId="162" xr:uid="{00000000-0005-0000-0000-0000A2000000}"/>
    <cellStyle name="Normal 7" xfId="163" xr:uid="{00000000-0005-0000-0000-0000A3000000}"/>
    <cellStyle name="Normal 7 2" xfId="164" xr:uid="{00000000-0005-0000-0000-0000A4000000}"/>
    <cellStyle name="Normal 8" xfId="165" xr:uid="{00000000-0005-0000-0000-0000A5000000}"/>
    <cellStyle name="Normal 9" xfId="166" xr:uid="{00000000-0005-0000-0000-0000A6000000}"/>
    <cellStyle name="Normal_Pesquisa no referencial 10 de maio de 2013" xfId="167" xr:uid="{00000000-0005-0000-0000-0000A7000000}"/>
    <cellStyle name="Normal_Pesquisa no referencial 10 de maio de 2013 2" xfId="168" xr:uid="{00000000-0005-0000-0000-0000A8000000}"/>
    <cellStyle name="Normal_Relação de material_ESTACIONAMENTO_PAF_I" xfId="169" xr:uid="{00000000-0005-0000-0000-0000A9000000}"/>
    <cellStyle name="Nota" xfId="170" builtinId="10" customBuiltin="1"/>
    <cellStyle name="Nota 2" xfId="171" xr:uid="{00000000-0005-0000-0000-0000AB000000}"/>
    <cellStyle name="Nota 3" xfId="172" xr:uid="{00000000-0005-0000-0000-0000AC000000}"/>
    <cellStyle name="Nota 4" xfId="173" xr:uid="{00000000-0005-0000-0000-0000AD000000}"/>
    <cellStyle name="Nota 5" xfId="174" xr:uid="{00000000-0005-0000-0000-0000AE000000}"/>
    <cellStyle name="Nota 5 2" xfId="175" xr:uid="{00000000-0005-0000-0000-0000AF000000}"/>
    <cellStyle name="Nota 6" xfId="176" xr:uid="{00000000-0005-0000-0000-0000B0000000}"/>
    <cellStyle name="Nota 6 2" xfId="177" xr:uid="{00000000-0005-0000-0000-0000B1000000}"/>
    <cellStyle name="Nota 6 3" xfId="178" xr:uid="{00000000-0005-0000-0000-0000B2000000}"/>
    <cellStyle name="Porcentagem" xfId="179" builtinId="5"/>
    <cellStyle name="Porcentagem 2" xfId="180" xr:uid="{00000000-0005-0000-0000-0000B4000000}"/>
    <cellStyle name="Porcentagem 3" xfId="181" xr:uid="{00000000-0005-0000-0000-0000B5000000}"/>
    <cellStyle name="Porcentagem 4" xfId="182" xr:uid="{00000000-0005-0000-0000-0000B6000000}"/>
    <cellStyle name="Saída" xfId="183" builtinId="21" customBuiltin="1"/>
    <cellStyle name="Saída 2" xfId="184" xr:uid="{00000000-0005-0000-0000-0000B8000000}"/>
    <cellStyle name="Saída 3" xfId="185" xr:uid="{00000000-0005-0000-0000-0000B9000000}"/>
    <cellStyle name="Separador de m" xfId="186" xr:uid="{00000000-0005-0000-0000-0000BA000000}"/>
    <cellStyle name="Separador de milhares 2" xfId="187" xr:uid="{00000000-0005-0000-0000-0000BB000000}"/>
    <cellStyle name="Separador de milhares 2 2" xfId="188" xr:uid="{00000000-0005-0000-0000-0000BC000000}"/>
    <cellStyle name="Separador de milhares 2 2 2" xfId="189" xr:uid="{00000000-0005-0000-0000-0000BD000000}"/>
    <cellStyle name="Separador de milhares 2 2 2 2" xfId="190" xr:uid="{00000000-0005-0000-0000-0000BE000000}"/>
    <cellStyle name="Separador de milhares 2 2 2 2 2" xfId="191" xr:uid="{00000000-0005-0000-0000-0000BF000000}"/>
    <cellStyle name="Separador de milhares 2 2 2 3" xfId="192" xr:uid="{00000000-0005-0000-0000-0000C0000000}"/>
    <cellStyle name="Separador de milhares 2 2 3" xfId="193" xr:uid="{00000000-0005-0000-0000-0000C1000000}"/>
    <cellStyle name="Separador de milhares 2 2 3 2" xfId="194" xr:uid="{00000000-0005-0000-0000-0000C2000000}"/>
    <cellStyle name="Separador de milhares 2 2 4" xfId="195" xr:uid="{00000000-0005-0000-0000-0000C3000000}"/>
    <cellStyle name="Separador de milhares 2 3" xfId="196" xr:uid="{00000000-0005-0000-0000-0000C4000000}"/>
    <cellStyle name="Separador de milhares 2 3 2" xfId="197" xr:uid="{00000000-0005-0000-0000-0000C5000000}"/>
    <cellStyle name="Separador de milhares 2 3 2 2" xfId="198" xr:uid="{00000000-0005-0000-0000-0000C6000000}"/>
    <cellStyle name="Separador de milhares 2 3 2 2 2" xfId="199" xr:uid="{00000000-0005-0000-0000-0000C7000000}"/>
    <cellStyle name="Separador de milhares 2 3 2 3" xfId="200" xr:uid="{00000000-0005-0000-0000-0000C8000000}"/>
    <cellStyle name="Separador de milhares 2 3 3" xfId="201" xr:uid="{00000000-0005-0000-0000-0000C9000000}"/>
    <cellStyle name="Separador de milhares 2 4" xfId="202" xr:uid="{00000000-0005-0000-0000-0000CA000000}"/>
    <cellStyle name="Separador de milhares 3" xfId="203" xr:uid="{00000000-0005-0000-0000-0000CB000000}"/>
    <cellStyle name="Separador de milhares 3 2" xfId="204" xr:uid="{00000000-0005-0000-0000-0000CC000000}"/>
    <cellStyle name="Separador de milhares 3 2 2" xfId="205" xr:uid="{00000000-0005-0000-0000-0000CD000000}"/>
    <cellStyle name="Separador de milhares 3 2 2 2" xfId="206" xr:uid="{00000000-0005-0000-0000-0000CE000000}"/>
    <cellStyle name="Separador de milhares 3 2 3" xfId="207" xr:uid="{00000000-0005-0000-0000-0000CF000000}"/>
    <cellStyle name="Separador de milhares 3 3" xfId="208" xr:uid="{00000000-0005-0000-0000-0000D0000000}"/>
    <cellStyle name="Separador de milhares 3 3 2" xfId="209" xr:uid="{00000000-0005-0000-0000-0000D1000000}"/>
    <cellStyle name="Separador de milhares 3 4" xfId="210" xr:uid="{00000000-0005-0000-0000-0000D2000000}"/>
    <cellStyle name="Separador de milhares 4" xfId="211" xr:uid="{00000000-0005-0000-0000-0000D3000000}"/>
    <cellStyle name="Separador de milhares 8" xfId="212" xr:uid="{00000000-0005-0000-0000-0000D4000000}"/>
    <cellStyle name="Separador de milhares 8 2" xfId="213" xr:uid="{00000000-0005-0000-0000-0000D5000000}"/>
    <cellStyle name="Separador de milhares 8 2 2" xfId="214" xr:uid="{00000000-0005-0000-0000-0000D6000000}"/>
    <cellStyle name="Separador de milhares 8 3" xfId="215" xr:uid="{00000000-0005-0000-0000-0000D7000000}"/>
    <cellStyle name="Separador de milhares 9" xfId="216" xr:uid="{00000000-0005-0000-0000-0000D8000000}"/>
    <cellStyle name="Separador de milhares 9 2" xfId="217" xr:uid="{00000000-0005-0000-0000-0000D9000000}"/>
    <cellStyle name="Separador de milhares 9 2 2" xfId="218" xr:uid="{00000000-0005-0000-0000-0000DA000000}"/>
    <cellStyle name="Separador de milhares 9 3" xfId="219" xr:uid="{00000000-0005-0000-0000-0000DB000000}"/>
    <cellStyle name="Separador de milhares 9 4" xfId="220" xr:uid="{00000000-0005-0000-0000-0000DC000000}"/>
    <cellStyle name="Separador de milhares 9 5" xfId="221" xr:uid="{00000000-0005-0000-0000-0000DD000000}"/>
    <cellStyle name="Texto de Aviso" xfId="222" builtinId="11" customBuiltin="1"/>
    <cellStyle name="Texto de Aviso 2" xfId="223" xr:uid="{00000000-0005-0000-0000-0000DF000000}"/>
    <cellStyle name="Texto de Aviso 3" xfId="224" xr:uid="{00000000-0005-0000-0000-0000E0000000}"/>
    <cellStyle name="Texto Explicativo" xfId="225" builtinId="53" customBuiltin="1"/>
    <cellStyle name="Texto Explicativo 2" xfId="226" xr:uid="{00000000-0005-0000-0000-0000E2000000}"/>
    <cellStyle name="Texto Explicativo 3" xfId="227" xr:uid="{00000000-0005-0000-0000-0000E3000000}"/>
    <cellStyle name="Título" xfId="228" builtinId="15" customBuiltin="1"/>
    <cellStyle name="Título 1" xfId="229" builtinId="16" customBuiltin="1"/>
    <cellStyle name="Título 1 2" xfId="230" xr:uid="{00000000-0005-0000-0000-0000E6000000}"/>
    <cellStyle name="Título 1 3" xfId="231" xr:uid="{00000000-0005-0000-0000-0000E7000000}"/>
    <cellStyle name="Título 2" xfId="232" builtinId="17" customBuiltin="1"/>
    <cellStyle name="Título 2 2" xfId="233" xr:uid="{00000000-0005-0000-0000-0000E9000000}"/>
    <cellStyle name="Título 2 3" xfId="234" xr:uid="{00000000-0005-0000-0000-0000EA000000}"/>
    <cellStyle name="Título 3" xfId="235" builtinId="18" customBuiltin="1"/>
    <cellStyle name="Título 3 2" xfId="236" xr:uid="{00000000-0005-0000-0000-0000EC000000}"/>
    <cellStyle name="Título 3 3" xfId="237" xr:uid="{00000000-0005-0000-0000-0000ED000000}"/>
    <cellStyle name="Título 4" xfId="238" builtinId="19" customBuiltin="1"/>
    <cellStyle name="Título 4 2" xfId="239" xr:uid="{00000000-0005-0000-0000-0000EF000000}"/>
    <cellStyle name="Título 4 3" xfId="240" xr:uid="{00000000-0005-0000-0000-0000F0000000}"/>
    <cellStyle name="Título 5" xfId="241" xr:uid="{00000000-0005-0000-0000-0000F1000000}"/>
    <cellStyle name="Título 5 2" xfId="242" xr:uid="{00000000-0005-0000-0000-0000F2000000}"/>
    <cellStyle name="Título 5 3" xfId="243" xr:uid="{00000000-0005-0000-0000-0000F3000000}"/>
    <cellStyle name="Título 6" xfId="244" xr:uid="{00000000-0005-0000-0000-0000F4000000}"/>
    <cellStyle name="Título 7" xfId="245" xr:uid="{00000000-0005-0000-0000-0000F5000000}"/>
    <cellStyle name="Título 8" xfId="246" xr:uid="{00000000-0005-0000-0000-0000F6000000}"/>
    <cellStyle name="Total" xfId="247" builtinId="25" customBuiltin="1"/>
    <cellStyle name="Total 2" xfId="248" xr:uid="{00000000-0005-0000-0000-0000F8000000}"/>
    <cellStyle name="Total 3" xfId="249" xr:uid="{00000000-0005-0000-0000-0000F9000000}"/>
    <cellStyle name="Vírgula" xfId="250" builtinId="3"/>
    <cellStyle name="Vírgula 2" xfId="251" xr:uid="{00000000-0005-0000-0000-0000FB000000}"/>
    <cellStyle name="Vírgula 2 2" xfId="252" xr:uid="{00000000-0005-0000-0000-0000FC000000}"/>
    <cellStyle name="Vírgula 2 2 2" xfId="253" xr:uid="{00000000-0005-0000-0000-0000FD000000}"/>
    <cellStyle name="Vírgula 2 2 2 2" xfId="254" xr:uid="{00000000-0005-0000-0000-0000FE000000}"/>
    <cellStyle name="Vírgula 2 2 3" xfId="255" xr:uid="{00000000-0005-0000-0000-0000FF000000}"/>
    <cellStyle name="Vírgula 2 2 4" xfId="256" xr:uid="{00000000-0005-0000-0000-000000010000}"/>
    <cellStyle name="Vírgula 2 2 5" xfId="257" xr:uid="{00000000-0005-0000-0000-000001010000}"/>
    <cellStyle name="Vírgula 2 3" xfId="258" xr:uid="{00000000-0005-0000-0000-000002010000}"/>
    <cellStyle name="Vírgula 2 4" xfId="259" xr:uid="{00000000-0005-0000-0000-000003010000}"/>
    <cellStyle name="Vírgula 2 4 2" xfId="260" xr:uid="{00000000-0005-0000-0000-000004010000}"/>
    <cellStyle name="Vírgula 2 4 2 2" xfId="261" xr:uid="{00000000-0005-0000-0000-000005010000}"/>
    <cellStyle name="Vírgula 2 4 2 2 2" xfId="262" xr:uid="{00000000-0005-0000-0000-000006010000}"/>
    <cellStyle name="Vírgula 2 4 2 3" xfId="263" xr:uid="{00000000-0005-0000-0000-000007010000}"/>
    <cellStyle name="Vírgula 2 4 3" xfId="264" xr:uid="{00000000-0005-0000-0000-000008010000}"/>
    <cellStyle name="Vírgula 2 4 3 2" xfId="265" xr:uid="{00000000-0005-0000-0000-000009010000}"/>
    <cellStyle name="Vírgula 2 4 4" xfId="266" xr:uid="{00000000-0005-0000-0000-00000A010000}"/>
    <cellStyle name="Vírgula 2 5" xfId="267" xr:uid="{00000000-0005-0000-0000-00000B010000}"/>
    <cellStyle name="Vírgula 2 5 2" xfId="268" xr:uid="{00000000-0005-0000-0000-00000C010000}"/>
    <cellStyle name="Vírgula 2 5 2 2" xfId="269" xr:uid="{00000000-0005-0000-0000-00000D010000}"/>
    <cellStyle name="Vírgula 2 5 2 2 2" xfId="270" xr:uid="{00000000-0005-0000-0000-00000E010000}"/>
    <cellStyle name="Vírgula 2 5 2 3" xfId="271" xr:uid="{00000000-0005-0000-0000-00000F010000}"/>
    <cellStyle name="Vírgula 2 5 3" xfId="272" xr:uid="{00000000-0005-0000-0000-000010010000}"/>
    <cellStyle name="Vírgula 2 5 3 2" xfId="273" xr:uid="{00000000-0005-0000-0000-000011010000}"/>
    <cellStyle name="Vírgula 2 5 3 2 2" xfId="274" xr:uid="{00000000-0005-0000-0000-000012010000}"/>
    <cellStyle name="Vírgula 2 5 3 3" xfId="275" xr:uid="{00000000-0005-0000-0000-000013010000}"/>
    <cellStyle name="Vírgula 2 5 4" xfId="276" xr:uid="{00000000-0005-0000-0000-000014010000}"/>
    <cellStyle name="Vírgula 2 5 4 2" xfId="277" xr:uid="{00000000-0005-0000-0000-000015010000}"/>
    <cellStyle name="Vírgula 2 5 5" xfId="278" xr:uid="{00000000-0005-0000-0000-000016010000}"/>
    <cellStyle name="Vírgula 3" xfId="279" xr:uid="{00000000-0005-0000-0000-000017010000}"/>
    <cellStyle name="Vírgula 3 2" xfId="280" xr:uid="{00000000-0005-0000-0000-000018010000}"/>
    <cellStyle name="Vírgula 3 2 2" xfId="281" xr:uid="{00000000-0005-0000-0000-000019010000}"/>
    <cellStyle name="Vírgula 3 2 2 2" xfId="282" xr:uid="{00000000-0005-0000-0000-00001A010000}"/>
    <cellStyle name="Vírgula 3 2 2 2 2" xfId="283" xr:uid="{00000000-0005-0000-0000-00001B010000}"/>
    <cellStyle name="Vírgula 3 2 2 2 2 2" xfId="284" xr:uid="{00000000-0005-0000-0000-00001C010000}"/>
    <cellStyle name="Vírgula 3 2 2 2 2 2 2" xfId="285" xr:uid="{00000000-0005-0000-0000-00001D010000}"/>
    <cellStyle name="Vírgula 3 2 2 2 2 3" xfId="286" xr:uid="{00000000-0005-0000-0000-00001E010000}"/>
    <cellStyle name="Vírgula 3 2 2 2 3" xfId="287" xr:uid="{00000000-0005-0000-0000-00001F010000}"/>
    <cellStyle name="Vírgula 3 2 2 2 3 2" xfId="288" xr:uid="{00000000-0005-0000-0000-000020010000}"/>
    <cellStyle name="Vírgula 3 2 2 3" xfId="289" xr:uid="{00000000-0005-0000-0000-000021010000}"/>
    <cellStyle name="Vírgula 3 2 2 3 2" xfId="290" xr:uid="{00000000-0005-0000-0000-000022010000}"/>
    <cellStyle name="Vírgula 3 2 2 3 2 2" xfId="291" xr:uid="{00000000-0005-0000-0000-000023010000}"/>
    <cellStyle name="Vírgula 3 2 2 4" xfId="292" xr:uid="{00000000-0005-0000-0000-000024010000}"/>
    <cellStyle name="Vírgula 3 2 2 4 2" xfId="293" xr:uid="{00000000-0005-0000-0000-000025010000}"/>
    <cellStyle name="Vírgula 3 2 2 5" xfId="294" xr:uid="{00000000-0005-0000-0000-000026010000}"/>
    <cellStyle name="Vírgula 3 2 3" xfId="295" xr:uid="{00000000-0005-0000-0000-000027010000}"/>
    <cellStyle name="Vírgula 3 2 3 2" xfId="296" xr:uid="{00000000-0005-0000-0000-000028010000}"/>
    <cellStyle name="Vírgula 3 2 3 2 2" xfId="297" xr:uid="{00000000-0005-0000-0000-000029010000}"/>
    <cellStyle name="Vírgula 3 2 3 3" xfId="298" xr:uid="{00000000-0005-0000-0000-00002A010000}"/>
    <cellStyle name="Vírgula 3 2 4" xfId="299" xr:uid="{00000000-0005-0000-0000-00002B010000}"/>
    <cellStyle name="Vírgula 3 2 4 2" xfId="300" xr:uid="{00000000-0005-0000-0000-00002C010000}"/>
    <cellStyle name="Vírgula 3 2 4 2 2" xfId="301" xr:uid="{00000000-0005-0000-0000-00002D010000}"/>
    <cellStyle name="Vírgula 3 2 4 2 2 2" xfId="302" xr:uid="{00000000-0005-0000-0000-00002E010000}"/>
    <cellStyle name="Vírgula 3 2 4 3" xfId="303" xr:uid="{00000000-0005-0000-0000-00002F010000}"/>
    <cellStyle name="Vírgula 3 2 4 3 2" xfId="304" xr:uid="{00000000-0005-0000-0000-000030010000}"/>
    <cellStyle name="Vírgula 3 2 5" xfId="305" xr:uid="{00000000-0005-0000-0000-000031010000}"/>
    <cellStyle name="Vírgula 3 2 5 2" xfId="306" xr:uid="{00000000-0005-0000-0000-000032010000}"/>
    <cellStyle name="Vírgula 3 2 6" xfId="307" xr:uid="{00000000-0005-0000-0000-000033010000}"/>
    <cellStyle name="Vírgula 3 3" xfId="308" xr:uid="{00000000-0005-0000-0000-000034010000}"/>
    <cellStyle name="Vírgula 3 3 2" xfId="309" xr:uid="{00000000-0005-0000-0000-000035010000}"/>
    <cellStyle name="Vírgula 3 4" xfId="310" xr:uid="{00000000-0005-0000-0000-000036010000}"/>
    <cellStyle name="Vírgula 4" xfId="311" xr:uid="{00000000-0005-0000-0000-000037010000}"/>
    <cellStyle name="Vírgula 4 2" xfId="312" xr:uid="{00000000-0005-0000-0000-000038010000}"/>
    <cellStyle name="Vírgula 4 2 2" xfId="313" xr:uid="{00000000-0005-0000-0000-000039010000}"/>
    <cellStyle name="Vírgula 4 2 2 2" xfId="314" xr:uid="{00000000-0005-0000-0000-00003A010000}"/>
    <cellStyle name="Vírgula 4 2 2 3" xfId="315" xr:uid="{00000000-0005-0000-0000-00003B010000}"/>
    <cellStyle name="Vírgula 4 2 3" xfId="316" xr:uid="{00000000-0005-0000-0000-00003C010000}"/>
    <cellStyle name="Vírgula 4 3" xfId="317" xr:uid="{00000000-0005-0000-0000-00003D010000}"/>
    <cellStyle name="Vírgula 4 3 2" xfId="318" xr:uid="{00000000-0005-0000-0000-00003E010000}"/>
    <cellStyle name="Vírgula 4 4" xfId="319" xr:uid="{00000000-0005-0000-0000-00003F010000}"/>
    <cellStyle name="Vírgula 5" xfId="320" xr:uid="{00000000-0005-0000-0000-000040010000}"/>
    <cellStyle name="Vírgula 5 2" xfId="321" xr:uid="{00000000-0005-0000-0000-000041010000}"/>
    <cellStyle name="Vírgula 5 2 2" xfId="322" xr:uid="{00000000-0005-0000-0000-000042010000}"/>
    <cellStyle name="Vírgula 5 3" xfId="323" xr:uid="{00000000-0005-0000-0000-000043010000}"/>
    <cellStyle name="Vírgula 6" xfId="324" xr:uid="{00000000-0005-0000-0000-000044010000}"/>
    <cellStyle name="Vírgula 6 2" xfId="325" xr:uid="{00000000-0005-0000-0000-000045010000}"/>
    <cellStyle name="Vírgula 6 2 2" xfId="326" xr:uid="{00000000-0005-0000-0000-000046010000}"/>
    <cellStyle name="Vírgula 6 2 2 2" xfId="327" xr:uid="{00000000-0005-0000-0000-000047010000}"/>
    <cellStyle name="Vírgula 6 2 2 2 2" xfId="328" xr:uid="{00000000-0005-0000-0000-000048010000}"/>
    <cellStyle name="Vírgula 6 2 2 3" xfId="329" xr:uid="{00000000-0005-0000-0000-000049010000}"/>
    <cellStyle name="Vírgula 6 2 3" xfId="330" xr:uid="{00000000-0005-0000-0000-00004A010000}"/>
    <cellStyle name="Vírgula 6 2 3 2" xfId="331" xr:uid="{00000000-0005-0000-0000-00004B010000}"/>
    <cellStyle name="Vírgula 6 2 4" xfId="332" xr:uid="{00000000-0005-0000-0000-00004C010000}"/>
    <cellStyle name="Vírgula 6 3" xfId="333" xr:uid="{00000000-0005-0000-0000-00004D010000}"/>
    <cellStyle name="Vírgula 6 3 2" xfId="334" xr:uid="{00000000-0005-0000-0000-00004E010000}"/>
    <cellStyle name="Vírgula 6 3 2 2" xfId="335" xr:uid="{00000000-0005-0000-0000-00004F010000}"/>
    <cellStyle name="Vírgula 6 3 3" xfId="336" xr:uid="{00000000-0005-0000-0000-000050010000}"/>
    <cellStyle name="Vírgula 6 4" xfId="337" xr:uid="{00000000-0005-0000-0000-000051010000}"/>
    <cellStyle name="Vírgula 6 4 2" xfId="338" xr:uid="{00000000-0005-0000-0000-000052010000}"/>
    <cellStyle name="Vírgula 6 5" xfId="339" xr:uid="{00000000-0005-0000-0000-000053010000}"/>
    <cellStyle name="Vírgula 6 6" xfId="340" xr:uid="{00000000-0005-0000-0000-000054010000}"/>
    <cellStyle name="Vírgula 6 7" xfId="341" xr:uid="{00000000-0005-0000-0000-000055010000}"/>
    <cellStyle name="Vírgula 7" xfId="342" xr:uid="{00000000-0005-0000-0000-000056010000}"/>
    <cellStyle name="Vírgula 7 2" xfId="343" xr:uid="{00000000-0005-0000-0000-000057010000}"/>
    <cellStyle name="Vírgula 7 2 2" xfId="344" xr:uid="{00000000-0005-0000-0000-000058010000}"/>
    <cellStyle name="Vírgula 7 2 2 2" xfId="345" xr:uid="{00000000-0005-0000-0000-000059010000}"/>
    <cellStyle name="Vírgula 7 2 3" xfId="346" xr:uid="{00000000-0005-0000-0000-00005A010000}"/>
    <cellStyle name="Vírgula 7 3" xfId="347" xr:uid="{00000000-0005-0000-0000-00005B010000}"/>
    <cellStyle name="Vírgula 7 3 2" xfId="348" xr:uid="{00000000-0005-0000-0000-00005C010000}"/>
    <cellStyle name="Vírgula 7 3 2 2" xfId="349" xr:uid="{00000000-0005-0000-0000-00005D010000}"/>
    <cellStyle name="Vírgula 7 3 3" xfId="350" xr:uid="{00000000-0005-0000-0000-00005E010000}"/>
    <cellStyle name="Vírgula 7 4" xfId="351" xr:uid="{00000000-0005-0000-0000-00005F010000}"/>
    <cellStyle name="Vírgula 7 4 2" xfId="352" xr:uid="{00000000-0005-0000-0000-000060010000}"/>
    <cellStyle name="Vírgula 7 5" xfId="353" xr:uid="{00000000-0005-0000-0000-000061010000}"/>
    <cellStyle name="Vírgula 8" xfId="354" xr:uid="{00000000-0005-0000-0000-000062010000}"/>
    <cellStyle name="Vírgula 8 2" xfId="355" xr:uid="{00000000-0005-0000-0000-000063010000}"/>
    <cellStyle name="Vírgula 8 3" xfId="356" xr:uid="{00000000-0005-0000-0000-000064010000}"/>
    <cellStyle name="Vírgula 9" xfId="357" xr:uid="{00000000-0005-0000-0000-000065010000}"/>
  </cellStyles>
  <dxfs count="134">
    <dxf>
      <font>
        <b/>
        <i val="0"/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indexed="13"/>
        </patternFill>
      </fill>
    </dxf>
    <dxf>
      <fill>
        <patternFill>
          <bgColor indexed="1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0000FF"/>
      <color rgb="FF000099"/>
      <color rgb="FF00FF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HISTOGRAMA DA DISPONIBILIZAÇÃO DE RECURSOS</a:t>
            </a:r>
          </a:p>
        </c:rich>
      </c:tx>
      <c:layout>
        <c:manualLayout>
          <c:xMode val="edge"/>
          <c:yMode val="edge"/>
          <c:x val="0.36875009911135237"/>
          <c:y val="3.03030820334450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62000547790929E-3"/>
          <c:y val="0.15293466034137038"/>
          <c:w val="0.98743748807322806"/>
          <c:h val="0.7117341800806368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 b="1" i="1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CRONOGRAMA!$O$11:$O$12</c:f>
              <c:numCache>
                <c:formatCode>General</c:formatCode>
                <c:ptCount val="2"/>
                <c:pt idx="0">
                  <c:v>30</c:v>
                </c:pt>
                <c:pt idx="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3E-4B29-89A1-297A432E3EDF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numFmt formatCode="\R\$\ #,##0.00" sourceLinked="0"/>
            <c:spPr>
              <a:noFill/>
              <a:ln w="12700">
                <a:solidFill>
                  <a:srgbClr val="C0C0C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CRONOGRAMA!$P$11:$P$12</c:f>
              <c:numCache>
                <c:formatCode>_(* #,##0.00_);_(* \(#,##0.00\);_(* "-"??_);_(@_)</c:formatCode>
                <c:ptCount val="2"/>
                <c:pt idx="0">
                  <c:v>72545.496840078005</c:v>
                </c:pt>
                <c:pt idx="1">
                  <c:v>69882.493729745736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3E-4B29-89A1-297A432E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gradFill rotWithShape="0">
                <a:gsLst>
                  <a:gs pos="0">
                    <a:srgbClr val="FFFFFF"/>
                  </a:gs>
                  <a:gs pos="100000">
                    <a:srgbClr val="000000"/>
                  </a:gs>
                </a:gsLst>
                <a:path path="rect">
                  <a:fillToRect r="100000" b="100000"/>
                </a:path>
              </a:gradFill>
              <a:ln w="3175">
                <a:solidFill>
                  <a:srgbClr val="C0C0C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smooth val="0"/>
        <c:axId val="379144104"/>
        <c:axId val="1"/>
      </c:lineChart>
      <c:catAx>
        <c:axId val="37914410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At val="0"/>
        <c:auto val="0"/>
        <c:lblAlgn val="ctr"/>
        <c:lblOffset val="100"/>
        <c:noMultiLvlLbl val="0"/>
      </c:catAx>
      <c:valAx>
        <c:axId val="1"/>
        <c:scaling>
          <c:orientation val="minMax"/>
          <c:max val="500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79144104"/>
        <c:crosses val="autoZero"/>
        <c:crossBetween val="between"/>
        <c:majorUnit val="100000"/>
        <c:minorUnit val="20000"/>
      </c:valAx>
      <c:spPr>
        <a:solidFill>
          <a:srgbClr val="FFFFFF"/>
        </a:solidFill>
        <a:ln w="25400">
          <a:solidFill>
            <a:srgbClr val="666699"/>
          </a:solidFill>
          <a:prstDash val="solid"/>
        </a:ln>
        <a:effectLst>
          <a:outerShdw dist="35921" dir="2700000" algn="br">
            <a:srgbClr val="000000"/>
          </a:outerShdw>
        </a:effectLst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PERCENTUAIS DOS SERVIÇOS</a:t>
            </a:r>
          </a:p>
        </c:rich>
      </c:tx>
      <c:layout>
        <c:manualLayout>
          <c:xMode val="edge"/>
          <c:yMode val="edge"/>
          <c:x val="0.42297193620028262"/>
          <c:y val="2.75974996796286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8098945522623E-3"/>
          <c:y val="0.13452617400303424"/>
          <c:w val="0.9836528623848142"/>
          <c:h val="0.756912328426710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38100">
              <a:solidFill>
                <a:srgbClr val="000000"/>
              </a:solidFill>
              <a:prstDash val="lgDash"/>
            </a:ln>
          </c:spPr>
          <c:invertIfNegative val="0"/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CRONOGRAMA!$B$11:$B$18</c:f>
              <c:strCache>
                <c:ptCount val="8"/>
                <c:pt idx="0">
                  <c:v>MOBILIZAÇÃO E SERVIÇOS PRELIMINARES</c:v>
                </c:pt>
                <c:pt idx="1">
                  <c:v>SANITÁRIO FEM. 2º PAV</c:v>
                </c:pt>
                <c:pt idx="2">
                  <c:v>SANITÁRIO FEM/MASC.. 3º PAV</c:v>
                </c:pt>
                <c:pt idx="3">
                  <c:v>SANITÁRIO FEM. 4º PAV.</c:v>
                </c:pt>
                <c:pt idx="4">
                  <c:v>SANITÁRIO MASC. 5º PAV</c:v>
                </c:pt>
                <c:pt idx="5">
                  <c:v>PAVIMENTAÇÃO</c:v>
                </c:pt>
                <c:pt idx="6">
                  <c:v>ESQUADRIAS</c:v>
                </c:pt>
                <c:pt idx="7">
                  <c:v>SERVIÇOS FINAIS E DESMOBILIZAÇÃO</c:v>
                </c:pt>
              </c:strCache>
            </c:strRef>
          </c:cat>
          <c:val>
            <c:numRef>
              <c:f>CRONOGRAMA!$D$11:$D$18</c:f>
              <c:numCache>
                <c:formatCode>0.00%</c:formatCode>
                <c:ptCount val="8"/>
                <c:pt idx="0">
                  <c:v>4.3194701233841976E-2</c:v>
                </c:pt>
                <c:pt idx="1">
                  <c:v>4.5270160670746573E-2</c:v>
                </c:pt>
                <c:pt idx="2">
                  <c:v>9.1137102221781785E-2</c:v>
                </c:pt>
                <c:pt idx="3">
                  <c:v>2.6010146100724663E-2</c:v>
                </c:pt>
                <c:pt idx="4">
                  <c:v>6.4611466505216764E-2</c:v>
                </c:pt>
                <c:pt idx="5">
                  <c:v>9.3480708939180243E-2</c:v>
                </c:pt>
                <c:pt idx="6">
                  <c:v>0.34915543673011834</c:v>
                </c:pt>
                <c:pt idx="7">
                  <c:v>2.9318062645508586E-2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B-4AB1-BF61-9CFE76CBB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379147384"/>
        <c:axId val="1"/>
      </c:barChart>
      <c:catAx>
        <c:axId val="379147384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crossAx val="379147384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CURVA S
</a:t>
            </a:r>
          </a:p>
        </c:rich>
      </c:tx>
      <c:layout>
        <c:manualLayout>
          <c:xMode val="edge"/>
          <c:yMode val="edge"/>
          <c:x val="0.42297189699681864"/>
          <c:y val="2.7597390956603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8098945522623E-3"/>
          <c:y val="0.13452617400303424"/>
          <c:w val="0.9836528623848142"/>
          <c:h val="0.7569123284267107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CRONOGRAMA!$Q$11:$Q$12</c:f>
              <c:numCache>
                <c:formatCode>0.00%</c:formatCode>
                <c:ptCount val="2"/>
                <c:pt idx="0">
                  <c:v>0.50934859468169902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A-4128-B08E-7851CC579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9148368"/>
        <c:axId val="1"/>
      </c:lineChart>
      <c:catAx>
        <c:axId val="379148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crossAx val="379148368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0</xdr:row>
      <xdr:rowOff>161924</xdr:rowOff>
    </xdr:from>
    <xdr:to>
      <xdr:col>6</xdr:col>
      <xdr:colOff>1047750</xdr:colOff>
      <xdr:row>5</xdr:row>
      <xdr:rowOff>174692</xdr:rowOff>
    </xdr:to>
    <xdr:pic>
      <xdr:nvPicPr>
        <xdr:cNvPr id="23540587" name="Picture 1">
          <a:extLst>
            <a:ext uri="{FF2B5EF4-FFF2-40B4-BE49-F238E27FC236}">
              <a16:creationId xmlns:a16="http://schemas.microsoft.com/office/drawing/2014/main" id="{74986D10-3C62-40D5-8DAF-62E8DA7A3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0139" y="161924"/>
          <a:ext cx="790575" cy="12918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0</xdr:row>
      <xdr:rowOff>190500</xdr:rowOff>
    </xdr:from>
    <xdr:to>
      <xdr:col>7</xdr:col>
      <xdr:colOff>847725</xdr:colOff>
      <xdr:row>5</xdr:row>
      <xdr:rowOff>133350</xdr:rowOff>
    </xdr:to>
    <xdr:pic>
      <xdr:nvPicPr>
        <xdr:cNvPr id="26216454" name="Picture 1">
          <a:extLst>
            <a:ext uri="{FF2B5EF4-FFF2-40B4-BE49-F238E27FC236}">
              <a16:creationId xmlns:a16="http://schemas.microsoft.com/office/drawing/2014/main" id="{F34527E3-EE5A-4515-8CD8-2792588FF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15475" y="190500"/>
          <a:ext cx="81915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28</xdr:row>
      <xdr:rowOff>133350</xdr:rowOff>
    </xdr:from>
    <xdr:to>
      <xdr:col>11</xdr:col>
      <xdr:colOff>1028700</xdr:colOff>
      <xdr:row>49</xdr:row>
      <xdr:rowOff>85725</xdr:rowOff>
    </xdr:to>
    <xdr:graphicFrame macro="">
      <xdr:nvGraphicFramePr>
        <xdr:cNvPr id="25905580" name="Chart 7">
          <a:extLst>
            <a:ext uri="{FF2B5EF4-FFF2-40B4-BE49-F238E27FC236}">
              <a16:creationId xmlns:a16="http://schemas.microsoft.com/office/drawing/2014/main" id="{9D7EC50C-2E91-4164-B1C2-499BAA41C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62</xdr:row>
      <xdr:rowOff>57150</xdr:rowOff>
    </xdr:from>
    <xdr:to>
      <xdr:col>11</xdr:col>
      <xdr:colOff>1257300</xdr:colOff>
      <xdr:row>93</xdr:row>
      <xdr:rowOff>114300</xdr:rowOff>
    </xdr:to>
    <xdr:graphicFrame macro="">
      <xdr:nvGraphicFramePr>
        <xdr:cNvPr id="25905581" name="Gráfico 4">
          <a:extLst>
            <a:ext uri="{FF2B5EF4-FFF2-40B4-BE49-F238E27FC236}">
              <a16:creationId xmlns:a16="http://schemas.microsoft.com/office/drawing/2014/main" id="{D4D2B028-A59F-4796-B99D-2A787AE9F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107</xdr:row>
      <xdr:rowOff>76200</xdr:rowOff>
    </xdr:from>
    <xdr:to>
      <xdr:col>11</xdr:col>
      <xdr:colOff>1181100</xdr:colOff>
      <xdr:row>139</xdr:row>
      <xdr:rowOff>133350</xdr:rowOff>
    </xdr:to>
    <xdr:graphicFrame macro="">
      <xdr:nvGraphicFramePr>
        <xdr:cNvPr id="25905582" name="Gráfico 4">
          <a:extLst>
            <a:ext uri="{FF2B5EF4-FFF2-40B4-BE49-F238E27FC236}">
              <a16:creationId xmlns:a16="http://schemas.microsoft.com/office/drawing/2014/main" id="{BFE860BE-A731-4875-AFEF-BAEF939992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279400</xdr:colOff>
      <xdr:row>0</xdr:row>
      <xdr:rowOff>142875</xdr:rowOff>
    </xdr:from>
    <xdr:to>
      <xdr:col>11</xdr:col>
      <xdr:colOff>1136650</xdr:colOff>
      <xdr:row>4</xdr:row>
      <xdr:rowOff>333375</xdr:rowOff>
    </xdr:to>
    <xdr:pic>
      <xdr:nvPicPr>
        <xdr:cNvPr id="25905583" name="Picture 1">
          <a:extLst>
            <a:ext uri="{FF2B5EF4-FFF2-40B4-BE49-F238E27FC236}">
              <a16:creationId xmlns:a16="http://schemas.microsoft.com/office/drawing/2014/main" id="{2F893D75-DB01-472F-ACB7-B4F06EA95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78025" y="142875"/>
          <a:ext cx="857250" cy="1444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190500</xdr:rowOff>
    </xdr:from>
    <xdr:to>
      <xdr:col>12</xdr:col>
      <xdr:colOff>742950</xdr:colOff>
      <xdr:row>5</xdr:row>
      <xdr:rowOff>0</xdr:rowOff>
    </xdr:to>
    <xdr:pic>
      <xdr:nvPicPr>
        <xdr:cNvPr id="23545707" name="Picture 1">
          <a:extLst>
            <a:ext uri="{FF2B5EF4-FFF2-40B4-BE49-F238E27FC236}">
              <a16:creationId xmlns:a16="http://schemas.microsoft.com/office/drawing/2014/main" id="{55EE351A-3C3A-449C-903D-8BA1C1B7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190500"/>
          <a:ext cx="6096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0</xdr:row>
      <xdr:rowOff>228600</xdr:rowOff>
    </xdr:from>
    <xdr:to>
      <xdr:col>7</xdr:col>
      <xdr:colOff>333375</xdr:colOff>
      <xdr:row>4</xdr:row>
      <xdr:rowOff>238125</xdr:rowOff>
    </xdr:to>
    <xdr:pic>
      <xdr:nvPicPr>
        <xdr:cNvPr id="23546731" name="Picture 1">
          <a:extLst>
            <a:ext uri="{FF2B5EF4-FFF2-40B4-BE49-F238E27FC236}">
              <a16:creationId xmlns:a16="http://schemas.microsoft.com/office/drawing/2014/main" id="{158EE39E-EC3C-43B9-A9DD-405884BBD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28600"/>
          <a:ext cx="6572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5"/>
  <sheetViews>
    <sheetView showZeros="0" tabSelected="1" view="pageBreakPreview" zoomScale="70" zoomScaleNormal="75" zoomScaleSheetLayoutView="70" workbookViewId="0">
      <selection activeCell="A7" sqref="A7:C7"/>
    </sheetView>
  </sheetViews>
  <sheetFormatPr defaultColWidth="15.7109375" defaultRowHeight="12.75" x14ac:dyDescent="0.2"/>
  <cols>
    <col min="1" max="1" width="8.5703125" style="156" customWidth="1"/>
    <col min="2" max="2" width="21.140625" style="8" customWidth="1"/>
    <col min="3" max="3" width="100.85546875" style="9" customWidth="1"/>
    <col min="4" max="4" width="9.85546875" style="10" customWidth="1"/>
    <col min="5" max="5" width="19.85546875" style="10" customWidth="1"/>
    <col min="6" max="6" width="15.85546875" style="4" customWidth="1"/>
    <col min="7" max="7" width="19.5703125" style="4" customWidth="1"/>
    <col min="8" max="8" width="15.7109375" style="7"/>
    <col min="9" max="9" width="16.85546875" style="7" customWidth="1"/>
    <col min="10" max="10" width="24.140625" style="7" customWidth="1"/>
    <col min="11" max="16384" width="15.7109375" style="7"/>
  </cols>
  <sheetData>
    <row r="1" spans="1:17" ht="25.5" x14ac:dyDescent="0.25">
      <c r="A1" s="546" t="s">
        <v>13</v>
      </c>
      <c r="B1" s="547"/>
      <c r="C1" s="547"/>
      <c r="D1" s="547"/>
      <c r="E1" s="97"/>
      <c r="F1" s="16"/>
      <c r="G1" s="157"/>
    </row>
    <row r="2" spans="1:17" ht="20.25" x14ac:dyDescent="0.25">
      <c r="A2" s="562" t="s">
        <v>142</v>
      </c>
      <c r="B2" s="563"/>
      <c r="C2" s="563"/>
      <c r="D2" s="563"/>
      <c r="E2" s="513"/>
      <c r="F2" s="421"/>
      <c r="G2" s="158"/>
    </row>
    <row r="3" spans="1:17" ht="15.75" customHeight="1" x14ac:dyDescent="0.25">
      <c r="A3" s="548" t="s">
        <v>141</v>
      </c>
      <c r="B3" s="549"/>
      <c r="C3" s="549"/>
      <c r="D3" s="549"/>
      <c r="E3" s="98"/>
      <c r="F3" s="5"/>
      <c r="G3" s="158"/>
    </row>
    <row r="4" spans="1:17" ht="16.5" thickBot="1" x14ac:dyDescent="0.3">
      <c r="A4" s="111" t="s">
        <v>6</v>
      </c>
      <c r="B4" s="112"/>
      <c r="C4" s="1"/>
      <c r="D4" s="2" t="s">
        <v>8</v>
      </c>
      <c r="E4" s="99"/>
      <c r="F4" s="5" t="s">
        <v>145</v>
      </c>
      <c r="G4" s="158"/>
    </row>
    <row r="5" spans="1:17" ht="22.5" customHeight="1" thickBot="1" x14ac:dyDescent="0.3">
      <c r="A5" s="556" t="s">
        <v>185</v>
      </c>
      <c r="B5" s="557"/>
      <c r="C5" s="557"/>
      <c r="D5" s="559" t="s">
        <v>267</v>
      </c>
      <c r="E5" s="559"/>
      <c r="F5" s="6">
        <f ca="1">NOW()</f>
        <v>44229.443061226855</v>
      </c>
      <c r="G5" s="158"/>
      <c r="I5" s="539" t="s">
        <v>564</v>
      </c>
      <c r="J5" s="540"/>
      <c r="K5" s="540"/>
      <c r="L5" s="541"/>
      <c r="M5" s="482"/>
      <c r="N5" s="482"/>
      <c r="O5" s="482"/>
    </row>
    <row r="6" spans="1:17" ht="25.5" customHeight="1" x14ac:dyDescent="0.25">
      <c r="A6" s="560" t="s">
        <v>7</v>
      </c>
      <c r="B6" s="561"/>
      <c r="C6" s="561"/>
      <c r="D6" s="558" t="s">
        <v>177</v>
      </c>
      <c r="E6" s="558"/>
      <c r="F6" s="5"/>
      <c r="G6" s="158"/>
      <c r="I6" s="532" t="s">
        <v>193</v>
      </c>
      <c r="J6" s="532" t="s">
        <v>194</v>
      </c>
      <c r="K6" s="532" t="s">
        <v>195</v>
      </c>
      <c r="L6" s="532" t="s">
        <v>196</v>
      </c>
      <c r="M6" s="482"/>
      <c r="N6" s="482"/>
      <c r="O6" s="482"/>
    </row>
    <row r="7" spans="1:17" ht="16.5" customHeight="1" thickBot="1" x14ac:dyDescent="0.3">
      <c r="A7" s="550" t="s">
        <v>186</v>
      </c>
      <c r="B7" s="551"/>
      <c r="C7" s="551"/>
      <c r="D7" s="552">
        <f>I8</f>
        <v>54.86</v>
      </c>
      <c r="E7" s="552"/>
      <c r="F7" s="100"/>
      <c r="G7" s="159"/>
      <c r="I7" s="533">
        <v>6.89</v>
      </c>
      <c r="J7" s="533">
        <f>5.57+3.85+17.97</f>
        <v>27.39</v>
      </c>
      <c r="K7" s="533">
        <f>5.57+3.85</f>
        <v>9.42</v>
      </c>
      <c r="L7" s="533">
        <v>11.16</v>
      </c>
    </row>
    <row r="8" spans="1:17" s="11" customFormat="1" ht="16.5" customHeight="1" thickBot="1" x14ac:dyDescent="0.25">
      <c r="A8" s="553" t="s">
        <v>11</v>
      </c>
      <c r="B8" s="554"/>
      <c r="C8" s="554"/>
      <c r="D8" s="554"/>
      <c r="E8" s="554"/>
      <c r="F8" s="554"/>
      <c r="G8" s="555"/>
      <c r="I8" s="542">
        <f>I7+J7+K7+L7</f>
        <v>54.86</v>
      </c>
      <c r="J8" s="542"/>
      <c r="K8" s="542"/>
      <c r="L8" s="542"/>
    </row>
    <row r="9" spans="1:17" s="3" customFormat="1" ht="23.25" customHeight="1" thickBot="1" x14ac:dyDescent="0.25">
      <c r="A9" s="46" t="s">
        <v>20</v>
      </c>
      <c r="B9" s="14" t="s">
        <v>12</v>
      </c>
      <c r="C9" s="12" t="s">
        <v>3</v>
      </c>
      <c r="D9" s="13" t="s">
        <v>2</v>
      </c>
      <c r="E9" s="166" t="s">
        <v>140</v>
      </c>
      <c r="F9" s="12" t="s">
        <v>4</v>
      </c>
      <c r="G9" s="160" t="s">
        <v>5</v>
      </c>
    </row>
    <row r="10" spans="1:17" s="72" customFormat="1" ht="18.75" thickBot="1" x14ac:dyDescent="0.3">
      <c r="A10" s="132">
        <v>1</v>
      </c>
      <c r="B10" s="151" t="s">
        <v>569</v>
      </c>
      <c r="C10" s="133" t="s">
        <v>216</v>
      </c>
      <c r="D10" s="134"/>
      <c r="E10" s="135"/>
      <c r="F10" s="136"/>
      <c r="G10" s="161">
        <f>SUM(G11:G13)</f>
        <v>4921.7075999999997</v>
      </c>
      <c r="H10" s="137">
        <f t="shared" ref="H10:H41" si="0">G10/$G$242</f>
        <v>3.455576098707358E-2</v>
      </c>
      <c r="J10" s="138"/>
      <c r="K10" s="139"/>
      <c r="L10" s="140"/>
      <c r="M10" s="140"/>
      <c r="N10" s="141"/>
      <c r="O10" s="140"/>
    </row>
    <row r="11" spans="1:17" s="72" customFormat="1" ht="18" x14ac:dyDescent="0.25">
      <c r="A11" s="142" t="s">
        <v>168</v>
      </c>
      <c r="B11" s="149" t="s">
        <v>217</v>
      </c>
      <c r="C11" s="121" t="s">
        <v>218</v>
      </c>
      <c r="D11" s="122" t="s">
        <v>1</v>
      </c>
      <c r="E11" s="173">
        <v>7.48</v>
      </c>
      <c r="F11" s="143">
        <v>316.87</v>
      </c>
      <c r="G11" s="162">
        <f t="shared" ref="G11:G13" si="1">F11*E11</f>
        <v>2370.1876000000002</v>
      </c>
      <c r="H11" s="137">
        <f t="shared" si="0"/>
        <v>1.6641304778066371E-2</v>
      </c>
      <c r="J11" s="144"/>
      <c r="K11" s="144"/>
      <c r="L11" s="140"/>
      <c r="M11" s="145"/>
      <c r="N11" s="146"/>
      <c r="O11" s="145"/>
      <c r="P11" s="145"/>
      <c r="Q11" s="145"/>
    </row>
    <row r="12" spans="1:17" s="72" customFormat="1" ht="69" customHeight="1" x14ac:dyDescent="0.25">
      <c r="A12" s="45" t="s">
        <v>174</v>
      </c>
      <c r="B12" s="123">
        <v>5824</v>
      </c>
      <c r="C12" s="124" t="s">
        <v>210</v>
      </c>
      <c r="D12" s="20" t="s">
        <v>219</v>
      </c>
      <c r="E12" s="173">
        <f>8*2</f>
        <v>16</v>
      </c>
      <c r="F12" s="147">
        <v>125.47</v>
      </c>
      <c r="G12" s="163">
        <f t="shared" si="1"/>
        <v>2007.52</v>
      </c>
      <c r="H12" s="137">
        <f t="shared" si="0"/>
        <v>1.4094982257127577E-2</v>
      </c>
      <c r="I12" s="519"/>
      <c r="J12" s="520"/>
      <c r="K12" s="144"/>
      <c r="L12" s="140"/>
      <c r="M12" s="145"/>
      <c r="N12" s="146"/>
      <c r="O12" s="145"/>
      <c r="P12" s="145"/>
      <c r="Q12" s="145"/>
    </row>
    <row r="13" spans="1:17" s="72" customFormat="1" ht="18.75" thickBot="1" x14ac:dyDescent="0.3">
      <c r="A13" s="142" t="s">
        <v>169</v>
      </c>
      <c r="B13" s="123">
        <v>88316</v>
      </c>
      <c r="C13" s="124" t="s">
        <v>160</v>
      </c>
      <c r="D13" s="20" t="s">
        <v>156</v>
      </c>
      <c r="E13" s="173">
        <f>E12*2</f>
        <v>32</v>
      </c>
      <c r="F13" s="147">
        <v>17</v>
      </c>
      <c r="G13" s="163">
        <f t="shared" si="1"/>
        <v>544</v>
      </c>
      <c r="H13" s="137">
        <f t="shared" si="0"/>
        <v>3.8194739518796336E-3</v>
      </c>
      <c r="I13" s="519"/>
      <c r="J13" s="520"/>
      <c r="K13" s="144"/>
      <c r="L13" s="140"/>
      <c r="M13" s="145"/>
      <c r="N13" s="146"/>
      <c r="O13" s="145"/>
      <c r="P13" s="145"/>
      <c r="Q13" s="145"/>
    </row>
    <row r="14" spans="1:17" s="75" customFormat="1" ht="19.5" thickBot="1" x14ac:dyDescent="0.35">
      <c r="A14" s="40">
        <v>2</v>
      </c>
      <c r="B14" s="151"/>
      <c r="C14" s="15" t="s">
        <v>157</v>
      </c>
      <c r="D14" s="73"/>
      <c r="E14" s="167"/>
      <c r="F14" s="23"/>
      <c r="G14" s="164">
        <f>SUM(G15:G20)</f>
        <v>29376.879999999997</v>
      </c>
      <c r="H14" s="137">
        <f t="shared" si="0"/>
        <v>0.20625777196230471</v>
      </c>
      <c r="I14" s="521"/>
      <c r="J14" s="522"/>
      <c r="K14" s="74"/>
      <c r="L14" s="74"/>
    </row>
    <row r="15" spans="1:17" s="75" customFormat="1" ht="18.75" x14ac:dyDescent="0.3">
      <c r="A15" s="142" t="s">
        <v>170</v>
      </c>
      <c r="B15" s="177" t="s">
        <v>255</v>
      </c>
      <c r="C15" s="174" t="s">
        <v>254</v>
      </c>
      <c r="D15" s="20" t="s">
        <v>158</v>
      </c>
      <c r="E15" s="170">
        <v>2</v>
      </c>
      <c r="F15" s="19">
        <f>15514.84/2</f>
        <v>7757.42</v>
      </c>
      <c r="G15" s="162">
        <f t="shared" ref="G15:G20" si="2">F15*E15</f>
        <v>15514.84</v>
      </c>
      <c r="H15" s="137">
        <f t="shared" si="0"/>
        <v>0.10893111626393422</v>
      </c>
      <c r="I15" s="521"/>
      <c r="J15" s="522"/>
      <c r="K15" s="74"/>
      <c r="L15" s="74"/>
    </row>
    <row r="16" spans="1:17" s="75" customFormat="1" ht="18.75" x14ac:dyDescent="0.3">
      <c r="A16" s="142" t="s">
        <v>223</v>
      </c>
      <c r="B16" s="177" t="s">
        <v>176</v>
      </c>
      <c r="C16" s="175" t="s">
        <v>175</v>
      </c>
      <c r="D16" s="20" t="s">
        <v>158</v>
      </c>
      <c r="E16" s="170">
        <v>2</v>
      </c>
      <c r="F16" s="19">
        <v>5122.8599999999997</v>
      </c>
      <c r="G16" s="162">
        <f t="shared" si="2"/>
        <v>10245.719999999999</v>
      </c>
      <c r="H16" s="137">
        <f t="shared" si="0"/>
        <v>7.1936140915904778E-2</v>
      </c>
      <c r="I16" s="521"/>
      <c r="J16" s="522"/>
      <c r="K16" s="74"/>
      <c r="L16" s="74"/>
    </row>
    <row r="17" spans="1:17" s="75" customFormat="1" ht="36" x14ac:dyDescent="0.25">
      <c r="A17" s="142" t="s">
        <v>220</v>
      </c>
      <c r="B17" s="177">
        <v>10527</v>
      </c>
      <c r="C17" s="129" t="s">
        <v>171</v>
      </c>
      <c r="D17" s="191" t="s">
        <v>172</v>
      </c>
      <c r="E17" s="170">
        <f>(1.5*4*2)*2*E15</f>
        <v>48</v>
      </c>
      <c r="F17" s="19">
        <v>14.5</v>
      </c>
      <c r="G17" s="162">
        <f t="shared" si="2"/>
        <v>696</v>
      </c>
      <c r="H17" s="137">
        <f t="shared" si="0"/>
        <v>4.8866799090224724E-3</v>
      </c>
      <c r="I17" s="523"/>
      <c r="J17" s="523"/>
      <c r="K17" s="77"/>
      <c r="L17" s="77"/>
    </row>
    <row r="18" spans="1:17" s="75" customFormat="1" ht="36" x14ac:dyDescent="0.25">
      <c r="A18" s="142" t="s">
        <v>224</v>
      </c>
      <c r="B18" s="177">
        <v>97064</v>
      </c>
      <c r="C18" s="192" t="s">
        <v>173</v>
      </c>
      <c r="D18" s="191" t="s">
        <v>154</v>
      </c>
      <c r="E18" s="170">
        <f>(1.5*4*2)*2</f>
        <v>24</v>
      </c>
      <c r="F18" s="19">
        <v>22.52</v>
      </c>
      <c r="G18" s="162">
        <f t="shared" si="2"/>
        <v>540.48</v>
      </c>
      <c r="H18" s="137">
        <f t="shared" si="0"/>
        <v>3.794759708661589E-3</v>
      </c>
      <c r="I18" s="523"/>
      <c r="J18" s="523"/>
      <c r="K18" s="77"/>
      <c r="L18" s="77"/>
    </row>
    <row r="19" spans="1:17" s="72" customFormat="1" ht="36" x14ac:dyDescent="0.25">
      <c r="A19" s="142" t="s">
        <v>225</v>
      </c>
      <c r="B19" s="177" t="s">
        <v>221</v>
      </c>
      <c r="C19" s="176" t="s">
        <v>222</v>
      </c>
      <c r="D19" s="20" t="s">
        <v>158</v>
      </c>
      <c r="E19" s="170">
        <f>E16</f>
        <v>2</v>
      </c>
      <c r="F19" s="19">
        <v>800</v>
      </c>
      <c r="G19" s="163">
        <f t="shared" si="2"/>
        <v>1600</v>
      </c>
      <c r="H19" s="137">
        <f t="shared" si="0"/>
        <v>1.1233746917293039E-2</v>
      </c>
      <c r="I19" s="524"/>
      <c r="J19" s="525"/>
      <c r="K19" s="144"/>
      <c r="L19" s="140"/>
      <c r="M19" s="145"/>
      <c r="N19" s="146"/>
      <c r="O19" s="145"/>
      <c r="P19" s="145"/>
      <c r="Q19" s="145"/>
    </row>
    <row r="20" spans="1:17" s="72" customFormat="1" ht="28.5" customHeight="1" thickBot="1" x14ac:dyDescent="0.3">
      <c r="A20" s="142" t="s">
        <v>563</v>
      </c>
      <c r="B20" s="177" t="s">
        <v>561</v>
      </c>
      <c r="C20" s="370" t="s">
        <v>560</v>
      </c>
      <c r="D20" s="20" t="s">
        <v>158</v>
      </c>
      <c r="E20" s="170">
        <v>1</v>
      </c>
      <c r="F20" s="143">
        <v>779.84</v>
      </c>
      <c r="G20" s="163">
        <f t="shared" si="2"/>
        <v>779.84</v>
      </c>
      <c r="H20" s="137">
        <f t="shared" si="0"/>
        <v>5.4753282474886283E-3</v>
      </c>
      <c r="I20" s="535" t="s">
        <v>562</v>
      </c>
      <c r="J20" s="536"/>
      <c r="K20" s="144"/>
      <c r="L20" s="140"/>
      <c r="M20" s="145"/>
      <c r="N20" s="146"/>
      <c r="O20" s="145"/>
      <c r="P20" s="145"/>
      <c r="Q20" s="145"/>
    </row>
    <row r="21" spans="1:17" s="41" customFormat="1" ht="18" customHeight="1" thickBot="1" x14ac:dyDescent="0.3">
      <c r="A21" s="40">
        <v>3</v>
      </c>
      <c r="B21" s="21"/>
      <c r="C21" s="15" t="s">
        <v>193</v>
      </c>
      <c r="D21" s="22"/>
      <c r="E21" s="168"/>
      <c r="F21" s="23"/>
      <c r="G21" s="164">
        <f>SUM(G22:G52)</f>
        <v>5158.1904136860003</v>
      </c>
      <c r="H21" s="137">
        <f t="shared" si="0"/>
        <v>3.621612853659726E-2</v>
      </c>
      <c r="I21" s="526"/>
      <c r="J21" s="526"/>
      <c r="K21" s="42"/>
      <c r="L21" s="42"/>
    </row>
    <row r="22" spans="1:17" s="44" customFormat="1" ht="18" x14ac:dyDescent="0.25">
      <c r="A22" s="63" t="s">
        <v>226</v>
      </c>
      <c r="B22" s="104"/>
      <c r="C22" s="108" t="s">
        <v>187</v>
      </c>
      <c r="D22" s="106"/>
      <c r="E22" s="169"/>
      <c r="F22" s="107"/>
      <c r="G22" s="163"/>
      <c r="H22" s="137">
        <f t="shared" si="0"/>
        <v>0</v>
      </c>
      <c r="I22" s="527"/>
      <c r="J22" s="527"/>
      <c r="K22" s="43"/>
      <c r="L22" s="43"/>
    </row>
    <row r="23" spans="1:17" s="44" customFormat="1" ht="18" x14ac:dyDescent="0.25">
      <c r="A23" s="63" t="s">
        <v>227</v>
      </c>
      <c r="B23" s="104" t="s">
        <v>273</v>
      </c>
      <c r="C23" s="105" t="s">
        <v>274</v>
      </c>
      <c r="D23" s="106" t="s">
        <v>2</v>
      </c>
      <c r="E23" s="169">
        <v>2</v>
      </c>
      <c r="F23" s="107">
        <v>9.4600000000000009</v>
      </c>
      <c r="G23" s="163">
        <f>E23*F23</f>
        <v>18.920000000000002</v>
      </c>
      <c r="H23" s="137">
        <f t="shared" si="0"/>
        <v>1.3283905729699022E-4</v>
      </c>
      <c r="I23" s="527"/>
      <c r="J23" s="527"/>
      <c r="K23" s="43"/>
      <c r="L23" s="43"/>
    </row>
    <row r="24" spans="1:17" s="44" customFormat="1" ht="18" x14ac:dyDescent="0.25">
      <c r="A24" s="63" t="s">
        <v>250</v>
      </c>
      <c r="B24" s="177" t="s">
        <v>276</v>
      </c>
      <c r="C24" s="105" t="s">
        <v>277</v>
      </c>
      <c r="D24" s="106" t="s">
        <v>2</v>
      </c>
      <c r="E24" s="169">
        <f>E23</f>
        <v>2</v>
      </c>
      <c r="F24" s="107">
        <v>14.94</v>
      </c>
      <c r="G24" s="163">
        <f t="shared" ref="G24" si="3">E24*F24</f>
        <v>29.88</v>
      </c>
      <c r="H24" s="137">
        <f t="shared" si="0"/>
        <v>2.0979022368044752E-4</v>
      </c>
      <c r="I24" s="527"/>
      <c r="J24" s="527"/>
      <c r="K24" s="43"/>
      <c r="L24" s="43"/>
    </row>
    <row r="25" spans="1:17" s="44" customFormat="1" ht="36" x14ac:dyDescent="0.25">
      <c r="A25" s="63" t="s">
        <v>376</v>
      </c>
      <c r="B25" s="177" t="s">
        <v>268</v>
      </c>
      <c r="C25" s="105" t="s">
        <v>275</v>
      </c>
      <c r="D25" s="106" t="s">
        <v>2</v>
      </c>
      <c r="E25" s="169">
        <f>E23*2</f>
        <v>4</v>
      </c>
      <c r="F25" s="107">
        <v>0.61</v>
      </c>
      <c r="G25" s="163">
        <f>E25*F25</f>
        <v>2.44</v>
      </c>
      <c r="H25" s="137">
        <f t="shared" si="0"/>
        <v>1.7131464048871885E-5</v>
      </c>
      <c r="I25" s="535" t="s">
        <v>269</v>
      </c>
      <c r="J25" s="536"/>
      <c r="K25" s="43"/>
      <c r="L25" s="43"/>
    </row>
    <row r="26" spans="1:17" s="44" customFormat="1" ht="40.5" customHeight="1" x14ac:dyDescent="0.25">
      <c r="A26" s="63" t="s">
        <v>377</v>
      </c>
      <c r="B26" s="177" t="s">
        <v>257</v>
      </c>
      <c r="C26" s="105" t="str">
        <f>UPPER("Remoção de acessórios sanitários")</f>
        <v>REMOÇÃO DE ACESSÓRIOS SANITÁRIOS</v>
      </c>
      <c r="D26" s="106" t="s">
        <v>2</v>
      </c>
      <c r="E26" s="169">
        <f>2+1+1</f>
        <v>4</v>
      </c>
      <c r="F26" s="107">
        <v>10.42</v>
      </c>
      <c r="G26" s="163">
        <f t="shared" ref="G26:G27" si="4">E26*F26</f>
        <v>41.68</v>
      </c>
      <c r="H26" s="137">
        <f t="shared" si="0"/>
        <v>2.9263910719548369E-4</v>
      </c>
      <c r="I26" s="535" t="s">
        <v>278</v>
      </c>
      <c r="J26" s="536"/>
      <c r="K26" s="43"/>
      <c r="L26" s="43"/>
    </row>
    <row r="27" spans="1:17" s="44" customFormat="1" ht="36" x14ac:dyDescent="0.25">
      <c r="A27" s="63" t="s">
        <v>378</v>
      </c>
      <c r="B27" s="128" t="s">
        <v>353</v>
      </c>
      <c r="C27" s="227" t="s">
        <v>490</v>
      </c>
      <c r="D27" s="130" t="s">
        <v>1</v>
      </c>
      <c r="E27" s="170">
        <f>(0.8*2.1)+(0.6*1.9)</f>
        <v>2.8200000000000003</v>
      </c>
      <c r="F27" s="19">
        <v>11.72</v>
      </c>
      <c r="G27" s="163">
        <f t="shared" si="4"/>
        <v>33.050400000000003</v>
      </c>
      <c r="H27" s="137">
        <f t="shared" si="0"/>
        <v>2.3204989319706372E-4</v>
      </c>
      <c r="I27" s="527"/>
      <c r="J27" s="527"/>
      <c r="K27" s="43"/>
      <c r="L27" s="43"/>
    </row>
    <row r="28" spans="1:17" s="84" customFormat="1" ht="18" x14ac:dyDescent="0.25">
      <c r="A28" s="63" t="s">
        <v>379</v>
      </c>
      <c r="B28" s="165" t="s">
        <v>166</v>
      </c>
      <c r="C28" s="131" t="s">
        <v>252</v>
      </c>
      <c r="D28" s="20" t="s">
        <v>159</v>
      </c>
      <c r="E28" s="170">
        <f>(0.6*0.38*0.46)*E23+(0.41*0.36*0.15)*E24</f>
        <v>0.25403999999999999</v>
      </c>
      <c r="F28" s="19">
        <f>COMPOSIÇÕES!$H$26</f>
        <v>29.489899999999999</v>
      </c>
      <c r="G28" s="163">
        <f>E28*F28</f>
        <v>7.4916141959999996</v>
      </c>
      <c r="H28" s="137">
        <f t="shared" si="0"/>
        <v>5.2599311174914858E-5</v>
      </c>
      <c r="I28" s="528"/>
      <c r="J28" s="528"/>
      <c r="K28" s="83"/>
      <c r="L28" s="83"/>
    </row>
    <row r="29" spans="1:17" s="84" customFormat="1" ht="18" x14ac:dyDescent="0.25">
      <c r="A29" s="63" t="s">
        <v>380</v>
      </c>
      <c r="B29" s="165" t="s">
        <v>166</v>
      </c>
      <c r="C29" s="127" t="s">
        <v>211</v>
      </c>
      <c r="D29" s="126" t="s">
        <v>159</v>
      </c>
      <c r="E29" s="170">
        <f>E28*1.3</f>
        <v>0.33025199999999999</v>
      </c>
      <c r="F29" s="19">
        <f>COMPOSIÇÕES!$H$33</f>
        <v>22.657499999999999</v>
      </c>
      <c r="G29" s="163">
        <f>E29*F29</f>
        <v>7.4826846899999993</v>
      </c>
      <c r="H29" s="137">
        <f t="shared" si="0"/>
        <v>5.2536616293352079E-5</v>
      </c>
      <c r="I29" s="528"/>
      <c r="J29" s="528"/>
      <c r="K29" s="83"/>
      <c r="L29" s="83"/>
    </row>
    <row r="30" spans="1:17" s="84" customFormat="1" ht="36" x14ac:dyDescent="0.25">
      <c r="A30" s="63" t="s">
        <v>381</v>
      </c>
      <c r="B30" s="128">
        <v>97914</v>
      </c>
      <c r="C30" s="129" t="s">
        <v>212</v>
      </c>
      <c r="D30" s="130" t="s">
        <v>213</v>
      </c>
      <c r="E30" s="170">
        <f>E29*20</f>
        <v>6.6050399999999998</v>
      </c>
      <c r="F30" s="19">
        <v>1.87</v>
      </c>
      <c r="G30" s="163">
        <f>E30*F30</f>
        <v>12.3514248</v>
      </c>
      <c r="H30" s="137">
        <f t="shared" si="0"/>
        <v>8.6720487669485506E-5</v>
      </c>
      <c r="I30" s="528"/>
      <c r="J30" s="528"/>
      <c r="K30" s="83"/>
      <c r="L30" s="83"/>
    </row>
    <row r="31" spans="1:17" s="44" customFormat="1" ht="18" x14ac:dyDescent="0.25">
      <c r="A31" s="63" t="s">
        <v>228</v>
      </c>
      <c r="B31" s="104"/>
      <c r="C31" s="108" t="s">
        <v>200</v>
      </c>
      <c r="D31" s="106"/>
      <c r="E31" s="365"/>
      <c r="F31" s="107"/>
      <c r="G31" s="163"/>
      <c r="H31" s="137">
        <f t="shared" si="0"/>
        <v>0</v>
      </c>
      <c r="I31" s="527"/>
      <c r="J31" s="527"/>
      <c r="K31" s="43"/>
      <c r="L31" s="43"/>
    </row>
    <row r="32" spans="1:17" s="44" customFormat="1" ht="56.25" customHeight="1" x14ac:dyDescent="0.25">
      <c r="A32" s="63" t="s">
        <v>231</v>
      </c>
      <c r="B32" s="104" t="s">
        <v>573</v>
      </c>
      <c r="C32" s="105" t="s">
        <v>575</v>
      </c>
      <c r="D32" s="106" t="s">
        <v>2</v>
      </c>
      <c r="E32" s="169">
        <v>2</v>
      </c>
      <c r="F32" s="19">
        <v>1347.67</v>
      </c>
      <c r="G32" s="163">
        <f t="shared" ref="G32:G35" si="5">E32*F32</f>
        <v>2695.34</v>
      </c>
      <c r="H32" s="137">
        <f t="shared" si="0"/>
        <v>1.892422963503539E-2</v>
      </c>
      <c r="I32" s="527" t="s">
        <v>574</v>
      </c>
      <c r="J32" s="527"/>
      <c r="K32" s="43"/>
      <c r="L32" s="43"/>
    </row>
    <row r="33" spans="1:12" s="44" customFormat="1" ht="18" x14ac:dyDescent="0.25">
      <c r="A33" s="63" t="s">
        <v>251</v>
      </c>
      <c r="B33" s="207" t="s">
        <v>305</v>
      </c>
      <c r="C33" s="206" t="s">
        <v>204</v>
      </c>
      <c r="D33" s="106" t="s">
        <v>2</v>
      </c>
      <c r="E33" s="169">
        <v>1</v>
      </c>
      <c r="F33" s="19">
        <v>63.34</v>
      </c>
      <c r="G33" s="163">
        <f t="shared" si="5"/>
        <v>63.34</v>
      </c>
      <c r="H33" s="137">
        <f t="shared" si="0"/>
        <v>4.4471595608833826E-4</v>
      </c>
      <c r="I33" s="527"/>
      <c r="J33" s="527"/>
      <c r="K33" s="43"/>
      <c r="L33" s="43"/>
    </row>
    <row r="34" spans="1:12" s="44" customFormat="1" ht="18" x14ac:dyDescent="0.25">
      <c r="A34" s="63" t="s">
        <v>382</v>
      </c>
      <c r="B34" s="207" t="s">
        <v>571</v>
      </c>
      <c r="C34" s="206" t="s">
        <v>309</v>
      </c>
      <c r="D34" s="106" t="s">
        <v>2</v>
      </c>
      <c r="E34" s="169">
        <v>2</v>
      </c>
      <c r="F34" s="19">
        <v>54.4</v>
      </c>
      <c r="G34" s="163">
        <f t="shared" si="5"/>
        <v>108.8</v>
      </c>
      <c r="H34" s="137">
        <f t="shared" si="0"/>
        <v>7.638947903759267E-4</v>
      </c>
      <c r="I34" s="527"/>
      <c r="J34" s="527"/>
      <c r="K34" s="43"/>
      <c r="L34" s="43"/>
    </row>
    <row r="35" spans="1:12" s="44" customFormat="1" ht="54" x14ac:dyDescent="0.25">
      <c r="A35" s="63" t="s">
        <v>383</v>
      </c>
      <c r="B35" s="208" t="s">
        <v>306</v>
      </c>
      <c r="C35" s="206" t="s">
        <v>307</v>
      </c>
      <c r="D35" s="106" t="s">
        <v>2</v>
      </c>
      <c r="E35" s="169">
        <v>1</v>
      </c>
      <c r="F35" s="19">
        <v>97.27</v>
      </c>
      <c r="G35" s="163">
        <f t="shared" si="5"/>
        <v>97.27</v>
      </c>
      <c r="H35" s="137">
        <f t="shared" si="0"/>
        <v>6.8294160165318371E-4</v>
      </c>
      <c r="I35" s="527"/>
      <c r="J35" s="527"/>
      <c r="K35" s="43"/>
      <c r="L35" s="43"/>
    </row>
    <row r="36" spans="1:12" s="44" customFormat="1" ht="36" x14ac:dyDescent="0.25">
      <c r="A36" s="63" t="s">
        <v>384</v>
      </c>
      <c r="B36" s="228" t="s">
        <v>494</v>
      </c>
      <c r="C36" s="367" t="s">
        <v>495</v>
      </c>
      <c r="D36" s="106" t="s">
        <v>154</v>
      </c>
      <c r="E36" s="169">
        <v>0.73</v>
      </c>
      <c r="F36" s="107">
        <v>20.2</v>
      </c>
      <c r="G36" s="163">
        <f t="shared" ref="G36" si="6">E36*F36</f>
        <v>14.745999999999999</v>
      </c>
      <c r="H36" s="137">
        <f t="shared" si="0"/>
        <v>1.0353302002650197E-4</v>
      </c>
      <c r="I36" s="527"/>
      <c r="J36" s="527"/>
      <c r="K36" s="43"/>
      <c r="L36" s="43"/>
    </row>
    <row r="37" spans="1:12" s="44" customFormat="1" ht="18" x14ac:dyDescent="0.25">
      <c r="A37" s="63" t="s">
        <v>229</v>
      </c>
      <c r="B37" s="104"/>
      <c r="C37" s="108" t="s">
        <v>496</v>
      </c>
      <c r="D37" s="106"/>
      <c r="E37" s="169"/>
      <c r="F37" s="107"/>
      <c r="G37" s="163"/>
      <c r="H37" s="137">
        <f t="shared" si="0"/>
        <v>0</v>
      </c>
      <c r="I37" s="527"/>
      <c r="J37" s="527"/>
      <c r="K37" s="43"/>
      <c r="L37" s="43"/>
    </row>
    <row r="38" spans="1:12" s="44" customFormat="1" ht="54" x14ac:dyDescent="0.25">
      <c r="A38" s="63" t="s">
        <v>232</v>
      </c>
      <c r="B38" s="104" t="s">
        <v>319</v>
      </c>
      <c r="C38" s="105" t="s">
        <v>318</v>
      </c>
      <c r="D38" s="106" t="s">
        <v>154</v>
      </c>
      <c r="E38" s="169">
        <f>(10*0.15*2)</f>
        <v>3</v>
      </c>
      <c r="F38" s="19">
        <v>8.49</v>
      </c>
      <c r="G38" s="163">
        <f t="shared" ref="G38" si="7">E38*F38</f>
        <v>25.47</v>
      </c>
      <c r="H38" s="137">
        <f t="shared" si="0"/>
        <v>1.7882720873965859E-4</v>
      </c>
      <c r="I38" s="527"/>
      <c r="J38" s="527"/>
      <c r="K38" s="43"/>
      <c r="L38" s="43"/>
    </row>
    <row r="39" spans="1:12" s="44" customFormat="1" ht="18" x14ac:dyDescent="0.25">
      <c r="A39" s="63" t="s">
        <v>230</v>
      </c>
      <c r="B39" s="104"/>
      <c r="C39" s="108" t="s">
        <v>202</v>
      </c>
      <c r="D39" s="106"/>
      <c r="E39" s="169"/>
      <c r="F39" s="107"/>
      <c r="G39" s="163"/>
      <c r="H39" s="137">
        <f t="shared" si="0"/>
        <v>0</v>
      </c>
      <c r="I39" s="527"/>
      <c r="J39" s="527"/>
      <c r="K39" s="43"/>
      <c r="L39" s="43"/>
    </row>
    <row r="40" spans="1:12" s="44" customFormat="1" ht="18" x14ac:dyDescent="0.25">
      <c r="A40" s="63" t="s">
        <v>233</v>
      </c>
      <c r="B40" s="104" t="s">
        <v>329</v>
      </c>
      <c r="C40" s="105" t="s">
        <v>330</v>
      </c>
      <c r="D40" s="106" t="s">
        <v>2</v>
      </c>
      <c r="E40" s="169">
        <v>1</v>
      </c>
      <c r="F40" s="19">
        <v>68.989999999999995</v>
      </c>
      <c r="G40" s="163">
        <f t="shared" ref="G40" si="8">E40*F40</f>
        <v>68.989999999999995</v>
      </c>
      <c r="H40" s="137">
        <f t="shared" si="0"/>
        <v>4.8438512489002924E-4</v>
      </c>
      <c r="I40" s="527"/>
      <c r="J40" s="527"/>
      <c r="K40" s="43"/>
      <c r="L40" s="43"/>
    </row>
    <row r="41" spans="1:12" s="44" customFormat="1" ht="18" x14ac:dyDescent="0.25">
      <c r="A41" s="63" t="s">
        <v>497</v>
      </c>
      <c r="B41" s="104"/>
      <c r="C41" s="108" t="s">
        <v>199</v>
      </c>
      <c r="D41" s="106"/>
      <c r="E41" s="169"/>
      <c r="F41" s="107"/>
      <c r="G41" s="163"/>
      <c r="H41" s="137">
        <f t="shared" si="0"/>
        <v>0</v>
      </c>
      <c r="I41" s="527"/>
      <c r="J41" s="527"/>
      <c r="K41" s="43"/>
      <c r="L41" s="43"/>
    </row>
    <row r="42" spans="1:12" s="44" customFormat="1" ht="39" customHeight="1" x14ac:dyDescent="0.25">
      <c r="A42" s="63" t="s">
        <v>498</v>
      </c>
      <c r="B42" s="104" t="s">
        <v>292</v>
      </c>
      <c r="C42" s="105" t="s">
        <v>293</v>
      </c>
      <c r="D42" s="106" t="s">
        <v>1</v>
      </c>
      <c r="E42" s="169">
        <f>(2.73+1.32)*1.9*2-0.6*1.9*2*2</f>
        <v>10.829999999999998</v>
      </c>
      <c r="F42" s="19">
        <v>9.9</v>
      </c>
      <c r="G42" s="163">
        <f t="shared" ref="G42:G48" si="9">E42*F42</f>
        <v>107.21699999999998</v>
      </c>
      <c r="H42" s="137">
        <f t="shared" ref="H42:H73" si="10">G42/$G$242</f>
        <v>7.5278040201962981E-4</v>
      </c>
      <c r="I42" s="527"/>
      <c r="J42" s="527"/>
      <c r="K42" s="43"/>
      <c r="L42" s="43"/>
    </row>
    <row r="43" spans="1:12" s="44" customFormat="1" ht="39" customHeight="1" x14ac:dyDescent="0.25">
      <c r="A43" s="63" t="s">
        <v>507</v>
      </c>
      <c r="B43" s="104" t="s">
        <v>297</v>
      </c>
      <c r="C43" s="105" t="s">
        <v>296</v>
      </c>
      <c r="D43" s="106" t="s">
        <v>1</v>
      </c>
      <c r="E43" s="169">
        <f>E42</f>
        <v>10.829999999999998</v>
      </c>
      <c r="F43" s="19">
        <v>13.85</v>
      </c>
      <c r="G43" s="163">
        <f t="shared" ref="G43" si="11">E43*F43</f>
        <v>149.99549999999996</v>
      </c>
      <c r="H43" s="137">
        <f t="shared" si="10"/>
        <v>1.0531321785830173E-3</v>
      </c>
      <c r="I43" s="527"/>
      <c r="J43" s="527"/>
      <c r="K43" s="43"/>
      <c r="L43" s="43"/>
    </row>
    <row r="44" spans="1:12" s="44" customFormat="1" ht="36" x14ac:dyDescent="0.25">
      <c r="A44" s="63" t="s">
        <v>508</v>
      </c>
      <c r="B44" s="104" t="s">
        <v>294</v>
      </c>
      <c r="C44" s="105" t="s">
        <v>295</v>
      </c>
      <c r="D44" s="106" t="s">
        <v>1</v>
      </c>
      <c r="E44" s="169">
        <f>E42</f>
        <v>10.829999999999998</v>
      </c>
      <c r="F44" s="19">
        <v>9.3800000000000008</v>
      </c>
      <c r="G44" s="163">
        <f t="shared" si="9"/>
        <v>101.58539999999999</v>
      </c>
      <c r="H44" s="137">
        <f t="shared" si="10"/>
        <v>7.1324042130748767E-4</v>
      </c>
      <c r="I44" s="527"/>
      <c r="J44" s="527"/>
      <c r="K44" s="43"/>
      <c r="L44" s="43"/>
    </row>
    <row r="45" spans="1:12" s="44" customFormat="1" ht="18" x14ac:dyDescent="0.25">
      <c r="A45" s="63" t="s">
        <v>509</v>
      </c>
      <c r="B45" s="104" t="s">
        <v>291</v>
      </c>
      <c r="C45" s="105" t="s">
        <v>298</v>
      </c>
      <c r="D45" s="106" t="s">
        <v>1</v>
      </c>
      <c r="E45" s="169">
        <f>(1.33*1.3)+(2.73*1.3)+(1.33*1.3)</f>
        <v>7.0070000000000006</v>
      </c>
      <c r="F45" s="19">
        <v>46.17</v>
      </c>
      <c r="G45" s="163">
        <f t="shared" si="9"/>
        <v>323.51319000000007</v>
      </c>
      <c r="H45" s="137">
        <f t="shared" si="10"/>
        <v>2.2714158130413367E-3</v>
      </c>
      <c r="I45" s="527"/>
      <c r="J45" s="527"/>
      <c r="K45" s="43"/>
      <c r="L45" s="43"/>
    </row>
    <row r="46" spans="1:12" s="44" customFormat="1" ht="36" x14ac:dyDescent="0.25">
      <c r="A46" s="63" t="s">
        <v>510</v>
      </c>
      <c r="B46" s="104" t="s">
        <v>299</v>
      </c>
      <c r="C46" s="105" t="s">
        <v>300</v>
      </c>
      <c r="D46" s="106" t="s">
        <v>1</v>
      </c>
      <c r="E46" s="169">
        <f>0.1*(10*0.15*2+35*0.15)</f>
        <v>0.82500000000000007</v>
      </c>
      <c r="F46" s="19">
        <v>13.7</v>
      </c>
      <c r="G46" s="163">
        <f t="shared" si="9"/>
        <v>11.3025</v>
      </c>
      <c r="H46" s="137">
        <f t="shared" si="10"/>
        <v>7.9355890332940364E-5</v>
      </c>
      <c r="I46" s="527"/>
      <c r="J46" s="527"/>
      <c r="K46" s="43"/>
      <c r="L46" s="43"/>
    </row>
    <row r="47" spans="1:12" s="44" customFormat="1" ht="18" x14ac:dyDescent="0.25">
      <c r="A47" s="63" t="s">
        <v>511</v>
      </c>
      <c r="B47" s="104" t="s">
        <v>302</v>
      </c>
      <c r="C47" s="105" t="s">
        <v>493</v>
      </c>
      <c r="D47" s="106" t="s">
        <v>1</v>
      </c>
      <c r="E47" s="169">
        <f>(0.8*2.1*3)+(2.1+0.8+2.1)*0.15+(2.1+0.8+2.1)*0.07*2</f>
        <v>6.4900000000000011</v>
      </c>
      <c r="F47" s="19">
        <v>18.57</v>
      </c>
      <c r="G47" s="163">
        <f t="shared" si="9"/>
        <v>120.51930000000002</v>
      </c>
      <c r="H47" s="137">
        <f t="shared" si="10"/>
        <v>8.461770717808221E-4</v>
      </c>
      <c r="I47" s="527"/>
      <c r="J47" s="527"/>
      <c r="K47" s="43"/>
      <c r="L47" s="43"/>
    </row>
    <row r="48" spans="1:12" s="44" customFormat="1" ht="36" x14ac:dyDescent="0.25">
      <c r="A48" s="63" t="s">
        <v>512</v>
      </c>
      <c r="B48" s="104" t="s">
        <v>304</v>
      </c>
      <c r="C48" s="105" t="s">
        <v>303</v>
      </c>
      <c r="D48" s="106" t="s">
        <v>1</v>
      </c>
      <c r="E48" s="169">
        <v>6.89</v>
      </c>
      <c r="F48" s="19">
        <v>13.81</v>
      </c>
      <c r="G48" s="163">
        <f t="shared" si="9"/>
        <v>95.150899999999993</v>
      </c>
      <c r="H48" s="137">
        <f t="shared" si="10"/>
        <v>6.680632059704114E-4</v>
      </c>
      <c r="I48" s="527"/>
      <c r="J48" s="527"/>
      <c r="K48" s="43"/>
      <c r="L48" s="43"/>
    </row>
    <row r="49" spans="1:12" s="44" customFormat="1" ht="18" x14ac:dyDescent="0.25">
      <c r="A49" s="63" t="s">
        <v>528</v>
      </c>
      <c r="B49" s="104"/>
      <c r="C49" s="108" t="s">
        <v>201</v>
      </c>
      <c r="D49" s="106"/>
      <c r="E49" s="169"/>
      <c r="F49" s="107"/>
      <c r="G49" s="163"/>
      <c r="H49" s="137">
        <f t="shared" si="10"/>
        <v>0</v>
      </c>
      <c r="I49" s="527"/>
      <c r="J49" s="527"/>
      <c r="K49" s="43"/>
      <c r="L49" s="43"/>
    </row>
    <row r="50" spans="1:12" s="44" customFormat="1" ht="36" x14ac:dyDescent="0.25">
      <c r="A50" s="63" t="s">
        <v>529</v>
      </c>
      <c r="B50" s="128" t="s">
        <v>166</v>
      </c>
      <c r="C50" s="227" t="s">
        <v>491</v>
      </c>
      <c r="D50" s="130" t="s">
        <v>2</v>
      </c>
      <c r="E50" s="170">
        <v>1</v>
      </c>
      <c r="F50" s="19">
        <f>COMPOSIÇÕES!$H$42</f>
        <v>543.38</v>
      </c>
      <c r="G50" s="163">
        <f>E50*F50</f>
        <v>543.38</v>
      </c>
      <c r="H50" s="137">
        <f t="shared" si="10"/>
        <v>3.8151208749491825E-3</v>
      </c>
      <c r="I50" s="527"/>
      <c r="J50" s="527"/>
      <c r="K50" s="43"/>
      <c r="L50" s="43"/>
    </row>
    <row r="51" spans="1:12" s="44" customFormat="1" ht="18" x14ac:dyDescent="0.25">
      <c r="A51" s="63" t="s">
        <v>530</v>
      </c>
      <c r="B51" s="128" t="s">
        <v>166</v>
      </c>
      <c r="C51" s="227" t="s">
        <v>492</v>
      </c>
      <c r="D51" s="130" t="s">
        <v>2</v>
      </c>
      <c r="E51" s="170">
        <v>1</v>
      </c>
      <c r="F51" s="19">
        <f>COMPOSIÇÕES!$H$49</f>
        <v>428.96000000000004</v>
      </c>
      <c r="G51" s="163">
        <f t="shared" ref="G51" si="12">E51*F51</f>
        <v>428.96000000000004</v>
      </c>
      <c r="H51" s="137">
        <f t="shared" si="10"/>
        <v>3.0117675485262642E-3</v>
      </c>
      <c r="I51" s="527"/>
      <c r="J51" s="527"/>
      <c r="K51" s="43"/>
      <c r="L51" s="43"/>
    </row>
    <row r="52" spans="1:12" s="44" customFormat="1" ht="36.75" thickBot="1" x14ac:dyDescent="0.3">
      <c r="A52" s="63" t="s">
        <v>531</v>
      </c>
      <c r="B52" s="128" t="s">
        <v>166</v>
      </c>
      <c r="C52" s="227" t="s">
        <v>361</v>
      </c>
      <c r="D52" s="130" t="s">
        <v>154</v>
      </c>
      <c r="E52" s="170">
        <v>1.9</v>
      </c>
      <c r="F52" s="19">
        <f>COMPOSIÇÕES!$H$57</f>
        <v>25.954999999999998</v>
      </c>
      <c r="G52" s="163">
        <f t="shared" ref="G52" si="13">E52*F52</f>
        <v>49.314499999999995</v>
      </c>
      <c r="H52" s="137">
        <f t="shared" si="10"/>
        <v>3.4624163272052973E-4</v>
      </c>
      <c r="I52" s="527"/>
      <c r="J52" s="527"/>
      <c r="K52" s="43"/>
      <c r="L52" s="43"/>
    </row>
    <row r="53" spans="1:12" s="41" customFormat="1" ht="18" customHeight="1" thickBot="1" x14ac:dyDescent="0.3">
      <c r="A53" s="40">
        <v>4</v>
      </c>
      <c r="B53" s="21"/>
      <c r="C53" s="15" t="s">
        <v>194</v>
      </c>
      <c r="D53" s="22"/>
      <c r="E53" s="366"/>
      <c r="F53" s="23"/>
      <c r="G53" s="164">
        <f>SUM(G54:G93)</f>
        <v>10384.379468644001</v>
      </c>
      <c r="H53" s="137">
        <f t="shared" si="10"/>
        <v>7.2909681777425434E-2</v>
      </c>
      <c r="I53" s="526"/>
      <c r="J53" s="526"/>
      <c r="K53" s="42"/>
      <c r="L53" s="42"/>
    </row>
    <row r="54" spans="1:12" s="80" customFormat="1" ht="18" x14ac:dyDescent="0.25">
      <c r="A54" s="63" t="s">
        <v>385</v>
      </c>
      <c r="B54" s="101"/>
      <c r="C54" s="108" t="s">
        <v>187</v>
      </c>
      <c r="D54" s="102"/>
      <c r="E54" s="365"/>
      <c r="F54" s="107"/>
      <c r="G54" s="163"/>
      <c r="H54" s="137">
        <f t="shared" si="10"/>
        <v>0</v>
      </c>
      <c r="I54" s="527"/>
      <c r="J54" s="527"/>
      <c r="K54" s="79"/>
      <c r="L54" s="79"/>
    </row>
    <row r="55" spans="1:12" s="80" customFormat="1" ht="18" x14ac:dyDescent="0.25">
      <c r="A55" s="63" t="s">
        <v>386</v>
      </c>
      <c r="B55" s="104" t="s">
        <v>273</v>
      </c>
      <c r="C55" s="105" t="s">
        <v>274</v>
      </c>
      <c r="D55" s="106" t="s">
        <v>2</v>
      </c>
      <c r="E55" s="169">
        <v>3</v>
      </c>
      <c r="F55" s="107">
        <v>9.4600000000000009</v>
      </c>
      <c r="G55" s="163">
        <f>E55*F55</f>
        <v>28.380000000000003</v>
      </c>
      <c r="H55" s="137">
        <f t="shared" si="10"/>
        <v>1.9925858594548531E-4</v>
      </c>
      <c r="I55" s="564"/>
      <c r="J55" s="565"/>
      <c r="K55" s="79"/>
      <c r="L55" s="79"/>
    </row>
    <row r="56" spans="1:12" s="44" customFormat="1" ht="18" x14ac:dyDescent="0.25">
      <c r="A56" s="63" t="s">
        <v>387</v>
      </c>
      <c r="B56" s="177" t="s">
        <v>276</v>
      </c>
      <c r="C56" s="105" t="s">
        <v>277</v>
      </c>
      <c r="D56" s="106" t="s">
        <v>2</v>
      </c>
      <c r="E56" s="169">
        <f>E55</f>
        <v>3</v>
      </c>
      <c r="F56" s="107">
        <v>14.94</v>
      </c>
      <c r="G56" s="163">
        <f>E56*F56</f>
        <v>44.82</v>
      </c>
      <c r="H56" s="137">
        <f t="shared" si="10"/>
        <v>3.1468533552067129E-4</v>
      </c>
      <c r="I56" s="527"/>
      <c r="J56" s="527"/>
      <c r="K56" s="43"/>
      <c r="L56" s="43"/>
    </row>
    <row r="57" spans="1:12" s="44" customFormat="1" ht="46.5" customHeight="1" x14ac:dyDescent="0.25">
      <c r="A57" s="63" t="s">
        <v>388</v>
      </c>
      <c r="B57" s="177" t="s">
        <v>268</v>
      </c>
      <c r="C57" s="105" t="s">
        <v>275</v>
      </c>
      <c r="D57" s="106" t="s">
        <v>2</v>
      </c>
      <c r="E57" s="169">
        <f>E55*3</f>
        <v>9</v>
      </c>
      <c r="F57" s="107">
        <v>0.61</v>
      </c>
      <c r="G57" s="163">
        <f>E57*F57</f>
        <v>5.49</v>
      </c>
      <c r="H57" s="137">
        <f t="shared" si="10"/>
        <v>3.8545794109961746E-5</v>
      </c>
      <c r="I57" s="535" t="s">
        <v>270</v>
      </c>
      <c r="J57" s="536"/>
      <c r="K57" s="43"/>
      <c r="L57" s="43"/>
    </row>
    <row r="58" spans="1:12" s="44" customFormat="1" ht="50.25" customHeight="1" x14ac:dyDescent="0.25">
      <c r="A58" s="63" t="s">
        <v>389</v>
      </c>
      <c r="B58" s="177" t="s">
        <v>257</v>
      </c>
      <c r="C58" s="105" t="str">
        <f>UPPER("Remoção de acessórios sanitários")</f>
        <v>REMOÇÃO DE ACESSÓRIOS SANITÁRIOS</v>
      </c>
      <c r="D58" s="106" t="s">
        <v>2</v>
      </c>
      <c r="E58" s="169">
        <f>3+3+1</f>
        <v>7</v>
      </c>
      <c r="F58" s="107">
        <v>10.42</v>
      </c>
      <c r="G58" s="163">
        <f>E58*F58</f>
        <v>72.94</v>
      </c>
      <c r="H58" s="137">
        <f t="shared" si="10"/>
        <v>5.1211843759209645E-4</v>
      </c>
      <c r="I58" s="535" t="s">
        <v>365</v>
      </c>
      <c r="J58" s="536"/>
      <c r="K58" s="43"/>
      <c r="L58" s="43"/>
    </row>
    <row r="59" spans="1:12" s="44" customFormat="1" ht="62.25" customHeight="1" x14ac:dyDescent="0.25">
      <c r="A59" s="63" t="s">
        <v>390</v>
      </c>
      <c r="B59" s="104" t="s">
        <v>283</v>
      </c>
      <c r="C59" s="105" t="s">
        <v>282</v>
      </c>
      <c r="D59" s="106" t="s">
        <v>1</v>
      </c>
      <c r="E59" s="169">
        <f>3.85-0.2*0.2*12</f>
        <v>3.37</v>
      </c>
      <c r="F59" s="19">
        <v>10.25</v>
      </c>
      <c r="G59" s="163">
        <f t="shared" ref="G59:G63" si="14">E59*F59</f>
        <v>34.542500000000004</v>
      </c>
      <c r="H59" s="137">
        <f t="shared" si="10"/>
        <v>2.4252606430662181E-4</v>
      </c>
      <c r="I59" s="535" t="s">
        <v>331</v>
      </c>
      <c r="J59" s="536"/>
      <c r="K59" s="43"/>
      <c r="L59" s="43"/>
    </row>
    <row r="60" spans="1:12" s="44" customFormat="1" ht="18" x14ac:dyDescent="0.25">
      <c r="A60" s="63" t="s">
        <v>391</v>
      </c>
      <c r="B60" s="210" t="s">
        <v>283</v>
      </c>
      <c r="C60" s="209" t="s">
        <v>313</v>
      </c>
      <c r="D60" s="106" t="s">
        <v>1</v>
      </c>
      <c r="E60" s="169">
        <f>0.86*0.15</f>
        <v>0.129</v>
      </c>
      <c r="F60" s="19">
        <v>10.25</v>
      </c>
      <c r="G60" s="163">
        <f>E60*F60</f>
        <v>1.3222499999999999</v>
      </c>
      <c r="H60" s="137">
        <f t="shared" si="10"/>
        <v>9.2836386633692019E-6</v>
      </c>
      <c r="I60" s="527"/>
      <c r="J60" s="527"/>
      <c r="K60" s="43"/>
      <c r="L60" s="43"/>
    </row>
    <row r="61" spans="1:12" s="44" customFormat="1" ht="18" x14ac:dyDescent="0.25">
      <c r="A61" s="63" t="s">
        <v>392</v>
      </c>
      <c r="B61" s="165" t="s">
        <v>166</v>
      </c>
      <c r="C61" s="105" t="s">
        <v>344</v>
      </c>
      <c r="D61" s="106" t="s">
        <v>1</v>
      </c>
      <c r="E61" s="169">
        <f>1.55*0.52</f>
        <v>0.80600000000000005</v>
      </c>
      <c r="F61" s="107">
        <f>COMPOSIÇÕES!$H$64</f>
        <v>25.57</v>
      </c>
      <c r="G61" s="163">
        <f t="shared" si="14"/>
        <v>20.60942</v>
      </c>
      <c r="H61" s="137">
        <f t="shared" si="10"/>
        <v>1.4470063024512344E-4</v>
      </c>
      <c r="I61" s="527"/>
      <c r="J61" s="527"/>
      <c r="K61" s="43"/>
      <c r="L61" s="43"/>
    </row>
    <row r="62" spans="1:12" s="44" customFormat="1" ht="18" x14ac:dyDescent="0.25">
      <c r="A62" s="63" t="s">
        <v>393</v>
      </c>
      <c r="B62" s="165" t="s">
        <v>166</v>
      </c>
      <c r="C62" s="105" t="s">
        <v>501</v>
      </c>
      <c r="D62" s="106" t="s">
        <v>2</v>
      </c>
      <c r="E62" s="169">
        <v>1</v>
      </c>
      <c r="F62" s="107">
        <f>COMPOSIÇÕES!$H$71</f>
        <v>14.567499999999999</v>
      </c>
      <c r="G62" s="163">
        <f t="shared" si="14"/>
        <v>14.567499999999999</v>
      </c>
      <c r="H62" s="137">
        <f t="shared" si="10"/>
        <v>1.0227975513604147E-4</v>
      </c>
      <c r="I62" s="527"/>
      <c r="J62" s="527"/>
      <c r="K62" s="43"/>
      <c r="L62" s="43"/>
    </row>
    <row r="63" spans="1:12" s="44" customFormat="1" ht="36" x14ac:dyDescent="0.25">
      <c r="A63" s="63" t="s">
        <v>394</v>
      </c>
      <c r="B63" s="128" t="s">
        <v>353</v>
      </c>
      <c r="C63" s="227" t="s">
        <v>502</v>
      </c>
      <c r="D63" s="130" t="s">
        <v>1</v>
      </c>
      <c r="E63" s="170">
        <f>(0.8*2.1)</f>
        <v>1.6800000000000002</v>
      </c>
      <c r="F63" s="19">
        <v>11.72</v>
      </c>
      <c r="G63" s="163">
        <f t="shared" si="14"/>
        <v>19.689600000000002</v>
      </c>
      <c r="H63" s="137">
        <f t="shared" si="10"/>
        <v>1.3824248956420816E-4</v>
      </c>
      <c r="I63" s="527"/>
      <c r="J63" s="527"/>
      <c r="K63" s="43"/>
      <c r="L63" s="43"/>
    </row>
    <row r="64" spans="1:12" s="84" customFormat="1" ht="18" x14ac:dyDescent="0.25">
      <c r="A64" s="63" t="s">
        <v>395</v>
      </c>
      <c r="B64" s="165" t="s">
        <v>166</v>
      </c>
      <c r="C64" s="131" t="s">
        <v>252</v>
      </c>
      <c r="D64" s="20" t="s">
        <v>159</v>
      </c>
      <c r="E64" s="170">
        <f>((0.6*0.38*0.46)+(0.41*0.36*0.15))*E55+(E59*0.03)</f>
        <v>0.48215999999999992</v>
      </c>
      <c r="F64" s="19">
        <f>COMPOSIÇÕES!$H$26</f>
        <v>29.489899999999999</v>
      </c>
      <c r="G64" s="163">
        <f t="shared" ref="G64:G66" si="15">E64*F64</f>
        <v>14.218850183999997</v>
      </c>
      <c r="H64" s="137">
        <f t="shared" si="10"/>
        <v>9.9831852763725967E-5</v>
      </c>
      <c r="I64" s="528"/>
      <c r="J64" s="528"/>
      <c r="K64" s="83"/>
      <c r="L64" s="83"/>
    </row>
    <row r="65" spans="1:12" s="84" customFormat="1" ht="18" x14ac:dyDescent="0.25">
      <c r="A65" s="63" t="s">
        <v>396</v>
      </c>
      <c r="B65" s="165" t="s">
        <v>166</v>
      </c>
      <c r="C65" s="127" t="s">
        <v>211</v>
      </c>
      <c r="D65" s="126" t="s">
        <v>159</v>
      </c>
      <c r="E65" s="170">
        <f>E64*1.3</f>
        <v>0.62680799999999992</v>
      </c>
      <c r="F65" s="19">
        <f>COMPOSIÇÕES!$H$33</f>
        <v>22.657499999999999</v>
      </c>
      <c r="G65" s="163">
        <f t="shared" si="15"/>
        <v>14.201902259999997</v>
      </c>
      <c r="H65" s="137">
        <f t="shared" si="10"/>
        <v>9.9712859833107515E-5</v>
      </c>
      <c r="I65" s="528"/>
      <c r="J65" s="528"/>
      <c r="K65" s="83"/>
      <c r="L65" s="83"/>
    </row>
    <row r="66" spans="1:12" s="84" customFormat="1" ht="36" x14ac:dyDescent="0.25">
      <c r="A66" s="63" t="s">
        <v>397</v>
      </c>
      <c r="B66" s="128">
        <v>97914</v>
      </c>
      <c r="C66" s="129" t="s">
        <v>212</v>
      </c>
      <c r="D66" s="130" t="s">
        <v>213</v>
      </c>
      <c r="E66" s="170">
        <f>E65*20</f>
        <v>12.536159999999999</v>
      </c>
      <c r="F66" s="19">
        <v>1.87</v>
      </c>
      <c r="G66" s="163">
        <f t="shared" si="15"/>
        <v>23.442619199999999</v>
      </c>
      <c r="H66" s="137">
        <f t="shared" si="10"/>
        <v>1.6459278198204663E-4</v>
      </c>
      <c r="I66" s="528"/>
      <c r="J66" s="528"/>
      <c r="K66" s="83"/>
      <c r="L66" s="83"/>
    </row>
    <row r="67" spans="1:12" s="44" customFormat="1" ht="18" x14ac:dyDescent="0.25">
      <c r="A67" s="63" t="s">
        <v>398</v>
      </c>
      <c r="B67" s="104"/>
      <c r="C67" s="108" t="s">
        <v>200</v>
      </c>
      <c r="D67" s="106"/>
      <c r="E67" s="365"/>
      <c r="F67" s="169"/>
      <c r="G67" s="163"/>
      <c r="H67" s="137">
        <f t="shared" si="10"/>
        <v>0</v>
      </c>
      <c r="I67" s="527"/>
      <c r="J67" s="527"/>
      <c r="K67" s="43"/>
      <c r="L67" s="43"/>
    </row>
    <row r="68" spans="1:12" s="80" customFormat="1" ht="54" x14ac:dyDescent="0.25">
      <c r="A68" s="63" t="s">
        <v>399</v>
      </c>
      <c r="B68" s="104" t="s">
        <v>573</v>
      </c>
      <c r="C68" s="105" t="s">
        <v>575</v>
      </c>
      <c r="D68" s="106" t="s">
        <v>2</v>
      </c>
      <c r="E68" s="169">
        <v>3</v>
      </c>
      <c r="F68" s="19">
        <v>1347.67</v>
      </c>
      <c r="G68" s="163">
        <f t="shared" ref="G68:G74" si="16">E68*F68</f>
        <v>4043.01</v>
      </c>
      <c r="H68" s="137">
        <f t="shared" si="10"/>
        <v>2.8386344452553086E-2</v>
      </c>
      <c r="I68" s="527"/>
      <c r="J68" s="527"/>
      <c r="K68" s="79"/>
      <c r="L68" s="79"/>
    </row>
    <row r="69" spans="1:12" s="80" customFormat="1" ht="36" x14ac:dyDescent="0.25">
      <c r="A69" s="63" t="s">
        <v>506</v>
      </c>
      <c r="B69" s="104" t="s">
        <v>315</v>
      </c>
      <c r="C69" s="105" t="s">
        <v>314</v>
      </c>
      <c r="D69" s="106" t="s">
        <v>2</v>
      </c>
      <c r="E69" s="169">
        <v>2</v>
      </c>
      <c r="F69" s="19">
        <v>421.48</v>
      </c>
      <c r="G69" s="163">
        <f t="shared" si="16"/>
        <v>842.96</v>
      </c>
      <c r="H69" s="137">
        <f t="shared" si="10"/>
        <v>5.9184995633758388E-3</v>
      </c>
      <c r="I69" s="527"/>
      <c r="J69" s="527"/>
      <c r="K69" s="79"/>
      <c r="L69" s="79"/>
    </row>
    <row r="70" spans="1:12" s="44" customFormat="1" ht="36" x14ac:dyDescent="0.25">
      <c r="A70" s="63" t="s">
        <v>513</v>
      </c>
      <c r="B70" s="104" t="s">
        <v>317</v>
      </c>
      <c r="C70" s="105" t="s">
        <v>316</v>
      </c>
      <c r="D70" s="106" t="s">
        <v>2</v>
      </c>
      <c r="E70" s="169">
        <v>2</v>
      </c>
      <c r="F70" s="19">
        <v>259.57</v>
      </c>
      <c r="G70" s="163">
        <f t="shared" si="16"/>
        <v>519.14</v>
      </c>
      <c r="H70" s="137">
        <f t="shared" si="10"/>
        <v>3.644929609152193E-3</v>
      </c>
      <c r="I70" s="527"/>
      <c r="J70" s="527"/>
      <c r="K70" s="43"/>
      <c r="L70" s="43"/>
    </row>
    <row r="71" spans="1:12" s="44" customFormat="1" ht="18" x14ac:dyDescent="0.25">
      <c r="A71" s="63" t="s">
        <v>514</v>
      </c>
      <c r="B71" s="207" t="s">
        <v>305</v>
      </c>
      <c r="C71" s="206" t="s">
        <v>204</v>
      </c>
      <c r="D71" s="106" t="s">
        <v>2</v>
      </c>
      <c r="E71" s="169">
        <f>1+1</f>
        <v>2</v>
      </c>
      <c r="F71" s="19">
        <v>63.34</v>
      </c>
      <c r="G71" s="163">
        <f t="shared" si="16"/>
        <v>126.68</v>
      </c>
      <c r="H71" s="137">
        <f t="shared" si="10"/>
        <v>8.8943191217667652E-4</v>
      </c>
      <c r="I71" s="527"/>
      <c r="J71" s="527"/>
      <c r="K71" s="43"/>
      <c r="L71" s="43"/>
    </row>
    <row r="72" spans="1:12" s="44" customFormat="1" ht="18" x14ac:dyDescent="0.25">
      <c r="A72" s="63" t="s">
        <v>515</v>
      </c>
      <c r="B72" s="207" t="s">
        <v>308</v>
      </c>
      <c r="C72" s="206" t="s">
        <v>309</v>
      </c>
      <c r="D72" s="106" t="s">
        <v>2</v>
      </c>
      <c r="E72" s="169">
        <f>2+1</f>
        <v>3</v>
      </c>
      <c r="F72" s="19">
        <v>54.4</v>
      </c>
      <c r="G72" s="163">
        <f t="shared" si="16"/>
        <v>163.19999999999999</v>
      </c>
      <c r="H72" s="137">
        <f t="shared" si="10"/>
        <v>1.14584218556389E-3</v>
      </c>
      <c r="I72" s="527"/>
      <c r="J72" s="527"/>
      <c r="K72" s="43"/>
      <c r="L72" s="43"/>
    </row>
    <row r="73" spans="1:12" s="44" customFormat="1" ht="54" x14ac:dyDescent="0.25">
      <c r="A73" s="63" t="s">
        <v>516</v>
      </c>
      <c r="B73" s="208" t="s">
        <v>306</v>
      </c>
      <c r="C73" s="206" t="s">
        <v>307</v>
      </c>
      <c r="D73" s="106" t="s">
        <v>2</v>
      </c>
      <c r="E73" s="169">
        <f>1+1</f>
        <v>2</v>
      </c>
      <c r="F73" s="19">
        <v>97.27</v>
      </c>
      <c r="G73" s="163">
        <f t="shared" si="16"/>
        <v>194.54</v>
      </c>
      <c r="H73" s="137">
        <f t="shared" si="10"/>
        <v>1.3658832033063674E-3</v>
      </c>
      <c r="I73" s="527"/>
      <c r="J73" s="527"/>
      <c r="K73" s="43"/>
      <c r="L73" s="43"/>
    </row>
    <row r="74" spans="1:12" s="44" customFormat="1" ht="36" x14ac:dyDescent="0.25">
      <c r="A74" s="63" t="s">
        <v>517</v>
      </c>
      <c r="B74" s="210" t="s">
        <v>310</v>
      </c>
      <c r="C74" s="209" t="s">
        <v>311</v>
      </c>
      <c r="D74" s="106" t="s">
        <v>1</v>
      </c>
      <c r="E74" s="169">
        <f>2*0.8*0.6</f>
        <v>0.96</v>
      </c>
      <c r="F74" s="19">
        <v>616.49</v>
      </c>
      <c r="G74" s="163">
        <f t="shared" si="16"/>
        <v>591.83039999999994</v>
      </c>
      <c r="H74" s="137">
        <f t="shared" ref="H74:H105" si="17">G74/$G$242</f>
        <v>4.1552955822251915E-3</v>
      </c>
      <c r="I74" s="527"/>
      <c r="J74" s="527"/>
      <c r="K74" s="43"/>
      <c r="L74" s="43"/>
    </row>
    <row r="75" spans="1:12" s="44" customFormat="1" ht="36" x14ac:dyDescent="0.25">
      <c r="A75" s="63" t="s">
        <v>518</v>
      </c>
      <c r="B75" s="228" t="s">
        <v>367</v>
      </c>
      <c r="C75" s="367" t="s">
        <v>495</v>
      </c>
      <c r="D75" s="106" t="s">
        <v>154</v>
      </c>
      <c r="E75" s="169">
        <f>(1+0.4)+1.6</f>
        <v>3</v>
      </c>
      <c r="F75" s="107">
        <v>20.2</v>
      </c>
      <c r="G75" s="163">
        <f t="shared" ref="G75" si="18">E75*F75</f>
        <v>60.599999999999994</v>
      </c>
      <c r="H75" s="137">
        <f t="shared" si="17"/>
        <v>4.2547816449247386E-4</v>
      </c>
      <c r="I75" s="527"/>
      <c r="J75" s="527"/>
      <c r="K75" s="43"/>
      <c r="L75" s="43"/>
    </row>
    <row r="76" spans="1:12" s="44" customFormat="1" ht="18" x14ac:dyDescent="0.25">
      <c r="A76" s="63" t="s">
        <v>400</v>
      </c>
      <c r="B76" s="104"/>
      <c r="C76" s="108" t="s">
        <v>496</v>
      </c>
      <c r="D76" s="106"/>
      <c r="E76" s="169"/>
      <c r="F76" s="107"/>
      <c r="G76" s="163"/>
      <c r="H76" s="137">
        <f t="shared" si="17"/>
        <v>0</v>
      </c>
      <c r="I76" s="527"/>
      <c r="J76" s="527"/>
      <c r="K76" s="43"/>
      <c r="L76" s="43"/>
    </row>
    <row r="77" spans="1:12" s="44" customFormat="1" ht="54" x14ac:dyDescent="0.25">
      <c r="A77" s="63" t="s">
        <v>401</v>
      </c>
      <c r="B77" s="104" t="s">
        <v>319</v>
      </c>
      <c r="C77" s="105" t="s">
        <v>318</v>
      </c>
      <c r="D77" s="106" t="s">
        <v>154</v>
      </c>
      <c r="E77" s="169">
        <f>11*0.15*2</f>
        <v>3.3</v>
      </c>
      <c r="F77" s="19">
        <v>8.49</v>
      </c>
      <c r="G77" s="163">
        <f t="shared" ref="G77" si="19">E77*F77</f>
        <v>28.016999999999999</v>
      </c>
      <c r="H77" s="137">
        <f t="shared" si="17"/>
        <v>1.9670992961362443E-4</v>
      </c>
      <c r="I77" s="527"/>
      <c r="J77" s="527"/>
      <c r="K77" s="43"/>
      <c r="L77" s="43"/>
    </row>
    <row r="78" spans="1:12" s="84" customFormat="1" ht="27.75" customHeight="1" x14ac:dyDescent="0.25">
      <c r="A78" s="63" t="s">
        <v>402</v>
      </c>
      <c r="B78" s="128" t="s">
        <v>368</v>
      </c>
      <c r="C78" s="129" t="s">
        <v>369</v>
      </c>
      <c r="D78" s="130" t="s">
        <v>2</v>
      </c>
      <c r="E78" s="170">
        <v>1</v>
      </c>
      <c r="F78" s="19">
        <v>59.47</v>
      </c>
      <c r="G78" s="163">
        <f t="shared" ref="G78" si="20">E78*F78</f>
        <v>59.47</v>
      </c>
      <c r="H78" s="137">
        <f t="shared" si="17"/>
        <v>4.1754433073213569E-4</v>
      </c>
      <c r="I78" s="535" t="s">
        <v>370</v>
      </c>
      <c r="J78" s="536"/>
      <c r="K78" s="83"/>
      <c r="L78" s="83"/>
    </row>
    <row r="79" spans="1:12" s="44" customFormat="1" ht="27.75" customHeight="1" x14ac:dyDescent="0.25">
      <c r="A79" s="63" t="s">
        <v>403</v>
      </c>
      <c r="B79" s="104"/>
      <c r="C79" s="108" t="s">
        <v>198</v>
      </c>
      <c r="D79" s="106"/>
      <c r="E79" s="365"/>
      <c r="F79" s="107"/>
      <c r="G79" s="163"/>
      <c r="H79" s="137">
        <f t="shared" si="17"/>
        <v>0</v>
      </c>
      <c r="I79" s="527"/>
      <c r="J79" s="527"/>
      <c r="K79" s="43"/>
      <c r="L79" s="43"/>
    </row>
    <row r="80" spans="1:12" s="44" customFormat="1" ht="54" x14ac:dyDescent="0.25">
      <c r="A80" s="63" t="s">
        <v>404</v>
      </c>
      <c r="B80" s="165" t="s">
        <v>166</v>
      </c>
      <c r="C80" s="105" t="s">
        <v>500</v>
      </c>
      <c r="D80" s="106" t="s">
        <v>1</v>
      </c>
      <c r="E80" s="169">
        <v>3.85</v>
      </c>
      <c r="F80" s="19">
        <f>COMPOSIÇÕES!$H$81</f>
        <v>66.772500000000008</v>
      </c>
      <c r="G80" s="163">
        <f>E80*F80</f>
        <v>257.07412500000004</v>
      </c>
      <c r="H80" s="137">
        <f t="shared" si="17"/>
        <v>1.8049410370215976E-3</v>
      </c>
      <c r="I80" s="535" t="s">
        <v>370</v>
      </c>
      <c r="J80" s="536"/>
      <c r="K80" s="43"/>
      <c r="L80" s="43"/>
    </row>
    <row r="81" spans="1:12" s="44" customFormat="1" ht="18" x14ac:dyDescent="0.25">
      <c r="A81" s="63" t="s">
        <v>405</v>
      </c>
      <c r="B81" s="207" t="s">
        <v>312</v>
      </c>
      <c r="C81" s="209" t="str">
        <f>UPPER("Soleira em granito cinza andorinha, l = 15 cm, e = 2 cm")</f>
        <v>SOLEIRA EM GRANITO CINZA ANDORINHA, L = 15 CM, E = 2 CM</v>
      </c>
      <c r="D81" s="106" t="s">
        <v>154</v>
      </c>
      <c r="E81" s="169">
        <v>0.86</v>
      </c>
      <c r="F81" s="19">
        <v>63.4</v>
      </c>
      <c r="G81" s="163">
        <f>E81*F81</f>
        <v>54.524000000000001</v>
      </c>
      <c r="H81" s="137">
        <f t="shared" si="17"/>
        <v>3.8281801057405356E-4</v>
      </c>
      <c r="I81" s="527"/>
      <c r="J81" s="527"/>
      <c r="K81" s="43"/>
      <c r="L81" s="43"/>
    </row>
    <row r="82" spans="1:12" s="80" customFormat="1" ht="18" x14ac:dyDescent="0.25">
      <c r="A82" s="63" t="s">
        <v>504</v>
      </c>
      <c r="B82" s="101"/>
      <c r="C82" s="108" t="s">
        <v>199</v>
      </c>
      <c r="D82" s="102"/>
      <c r="E82" s="365"/>
      <c r="F82" s="169"/>
      <c r="G82" s="163"/>
      <c r="H82" s="137">
        <f t="shared" si="17"/>
        <v>0</v>
      </c>
      <c r="I82" s="527"/>
      <c r="J82" s="527"/>
      <c r="K82" s="79"/>
      <c r="L82" s="79"/>
    </row>
    <row r="83" spans="1:12" s="80" customFormat="1" ht="36" x14ac:dyDescent="0.25">
      <c r="A83" s="63" t="s">
        <v>505</v>
      </c>
      <c r="B83" s="104" t="s">
        <v>292</v>
      </c>
      <c r="C83" s="105" t="s">
        <v>293</v>
      </c>
      <c r="D83" s="106" t="s">
        <v>1</v>
      </c>
      <c r="E83" s="169">
        <f>(2.5+1.14+1.14)*1.9*2-0.6*1.6*2*2+1.43*1.9*2</f>
        <v>19.757999999999996</v>
      </c>
      <c r="F83" s="19">
        <v>9.9</v>
      </c>
      <c r="G83" s="163">
        <f t="shared" ref="G83:G89" si="21">E83*F83</f>
        <v>195.60419999999996</v>
      </c>
      <c r="H83" s="137">
        <f t="shared" si="17"/>
        <v>1.3733550492247319E-3</v>
      </c>
      <c r="I83" s="527"/>
      <c r="J83" s="527"/>
      <c r="K83" s="79"/>
      <c r="L83" s="79"/>
    </row>
    <row r="84" spans="1:12" s="44" customFormat="1" ht="39" customHeight="1" x14ac:dyDescent="0.25">
      <c r="A84" s="63" t="s">
        <v>519</v>
      </c>
      <c r="B84" s="104" t="s">
        <v>297</v>
      </c>
      <c r="C84" s="105" t="s">
        <v>296</v>
      </c>
      <c r="D84" s="106" t="s">
        <v>1</v>
      </c>
      <c r="E84" s="169">
        <f>E83</f>
        <v>19.757999999999996</v>
      </c>
      <c r="F84" s="19">
        <v>13.85</v>
      </c>
      <c r="G84" s="163">
        <f t="shared" si="21"/>
        <v>273.64829999999995</v>
      </c>
      <c r="H84" s="137">
        <f t="shared" si="17"/>
        <v>1.9213098415921752E-3</v>
      </c>
      <c r="I84" s="527"/>
      <c r="J84" s="527"/>
      <c r="K84" s="43"/>
      <c r="L84" s="43"/>
    </row>
    <row r="85" spans="1:12" s="80" customFormat="1" ht="36" x14ac:dyDescent="0.25">
      <c r="A85" s="63" t="s">
        <v>520</v>
      </c>
      <c r="B85" s="104" t="s">
        <v>294</v>
      </c>
      <c r="C85" s="105" t="s">
        <v>295</v>
      </c>
      <c r="D85" s="106" t="s">
        <v>1</v>
      </c>
      <c r="E85" s="169">
        <f>E83</f>
        <v>19.757999999999996</v>
      </c>
      <c r="F85" s="19">
        <v>9.3800000000000008</v>
      </c>
      <c r="G85" s="163">
        <f t="shared" si="21"/>
        <v>185.33003999999997</v>
      </c>
      <c r="H85" s="137">
        <f t="shared" si="17"/>
        <v>1.3012192284573721E-3</v>
      </c>
      <c r="I85" s="527"/>
      <c r="J85" s="527"/>
      <c r="K85" s="79"/>
      <c r="L85" s="79"/>
    </row>
    <row r="86" spans="1:12" s="80" customFormat="1" ht="36" x14ac:dyDescent="0.25">
      <c r="A86" s="63" t="s">
        <v>521</v>
      </c>
      <c r="B86" s="104" t="s">
        <v>299</v>
      </c>
      <c r="C86" s="105" t="s">
        <v>300</v>
      </c>
      <c r="D86" s="106" t="s">
        <v>1</v>
      </c>
      <c r="E86" s="169">
        <f>0.1*(11*0.15*2)</f>
        <v>0.33</v>
      </c>
      <c r="F86" s="19">
        <v>13.7</v>
      </c>
      <c r="G86" s="163">
        <f t="shared" si="21"/>
        <v>4.5209999999999999</v>
      </c>
      <c r="H86" s="137">
        <f t="shared" si="17"/>
        <v>3.1742356133176147E-5</v>
      </c>
      <c r="I86" s="527"/>
      <c r="J86" s="527"/>
      <c r="K86" s="79"/>
      <c r="L86" s="79"/>
    </row>
    <row r="87" spans="1:12" s="80" customFormat="1" ht="18" x14ac:dyDescent="0.25">
      <c r="A87" s="63" t="s">
        <v>522</v>
      </c>
      <c r="B87" s="104" t="s">
        <v>302</v>
      </c>
      <c r="C87" s="105" t="s">
        <v>301</v>
      </c>
      <c r="D87" s="106" t="s">
        <v>1</v>
      </c>
      <c r="E87" s="169">
        <f>((0.8*2.1*3)+(2.1+0.8+2.1)*0.15+(2.1+0.8+2.1)*0.07*2)*2</f>
        <v>12.980000000000002</v>
      </c>
      <c r="F87" s="19">
        <v>18.57</v>
      </c>
      <c r="G87" s="163">
        <f t="shared" si="21"/>
        <v>241.03860000000003</v>
      </c>
      <c r="H87" s="137">
        <f t="shared" si="17"/>
        <v>1.6923541435616442E-3</v>
      </c>
      <c r="I87" s="527"/>
      <c r="J87" s="527"/>
      <c r="K87" s="79"/>
      <c r="L87" s="79"/>
    </row>
    <row r="88" spans="1:12" s="80" customFormat="1" ht="50.25" customHeight="1" x14ac:dyDescent="0.25">
      <c r="A88" s="63" t="s">
        <v>523</v>
      </c>
      <c r="B88" s="104" t="s">
        <v>304</v>
      </c>
      <c r="C88" s="105" t="s">
        <v>303</v>
      </c>
      <c r="D88" s="106" t="s">
        <v>1</v>
      </c>
      <c r="E88" s="169">
        <v>3.85</v>
      </c>
      <c r="F88" s="19">
        <v>13.81</v>
      </c>
      <c r="G88" s="163">
        <f t="shared" si="21"/>
        <v>53.168500000000002</v>
      </c>
      <c r="H88" s="137">
        <f t="shared" si="17"/>
        <v>3.7330092060755939E-4</v>
      </c>
      <c r="I88" s="535" t="s">
        <v>366</v>
      </c>
      <c r="J88" s="536"/>
      <c r="K88" s="79"/>
      <c r="L88" s="79"/>
    </row>
    <row r="89" spans="1:12" s="44" customFormat="1" ht="18" x14ac:dyDescent="0.25">
      <c r="A89" s="63" t="s">
        <v>524</v>
      </c>
      <c r="B89" s="104" t="s">
        <v>291</v>
      </c>
      <c r="C89" s="105" t="s">
        <v>298</v>
      </c>
      <c r="D89" s="106" t="s">
        <v>1</v>
      </c>
      <c r="E89" s="169">
        <f>(1.34*1.24)+(2.1*1.4)+(1.5*2.2)+(1.2*3.2)+(1.05*2.87)+(2.1*2.73)+(2.1*0.06)+(2.1*0.41)+(1.05*2.87)</f>
        <v>24.488600000000005</v>
      </c>
      <c r="F89" s="19">
        <v>46.17</v>
      </c>
      <c r="G89" s="163">
        <f t="shared" si="21"/>
        <v>1130.6386620000003</v>
      </c>
      <c r="H89" s="137">
        <f t="shared" si="17"/>
        <v>7.9383178648842687E-3</v>
      </c>
      <c r="I89" s="527"/>
      <c r="J89" s="527"/>
      <c r="K89" s="43"/>
      <c r="L89" s="43"/>
    </row>
    <row r="90" spans="1:12" s="44" customFormat="1" ht="18" x14ac:dyDescent="0.25">
      <c r="A90" s="63" t="s">
        <v>532</v>
      </c>
      <c r="B90" s="104"/>
      <c r="C90" s="108" t="s">
        <v>201</v>
      </c>
      <c r="D90" s="106"/>
      <c r="E90" s="169"/>
      <c r="F90" s="107"/>
      <c r="G90" s="163"/>
      <c r="H90" s="137">
        <f t="shared" si="17"/>
        <v>0</v>
      </c>
      <c r="I90" s="527"/>
      <c r="J90" s="527"/>
      <c r="K90" s="43"/>
      <c r="L90" s="43"/>
    </row>
    <row r="91" spans="1:12" s="44" customFormat="1" ht="36" x14ac:dyDescent="0.25">
      <c r="A91" s="63" t="s">
        <v>533</v>
      </c>
      <c r="B91" s="128" t="s">
        <v>166</v>
      </c>
      <c r="C91" s="227" t="s">
        <v>491</v>
      </c>
      <c r="D91" s="130" t="s">
        <v>2</v>
      </c>
      <c r="E91" s="170">
        <v>1</v>
      </c>
      <c r="F91" s="19">
        <f>COMPOSIÇÕES!$H$42</f>
        <v>543.38</v>
      </c>
      <c r="G91" s="163">
        <f>E91*F91</f>
        <v>543.38</v>
      </c>
      <c r="H91" s="137">
        <f t="shared" si="17"/>
        <v>3.8151208749491825E-3</v>
      </c>
      <c r="I91" s="527"/>
      <c r="J91" s="527"/>
      <c r="K91" s="43"/>
      <c r="L91" s="43"/>
    </row>
    <row r="92" spans="1:12" s="44" customFormat="1" ht="18" x14ac:dyDescent="0.25">
      <c r="A92" s="63" t="s">
        <v>534</v>
      </c>
      <c r="B92" s="128" t="s">
        <v>166</v>
      </c>
      <c r="C92" s="227" t="s">
        <v>492</v>
      </c>
      <c r="D92" s="130" t="s">
        <v>2</v>
      </c>
      <c r="E92" s="170">
        <v>1</v>
      </c>
      <c r="F92" s="19">
        <f>COMPOSIÇÕES!$H$49</f>
        <v>428.96000000000004</v>
      </c>
      <c r="G92" s="163">
        <f>E92*F92</f>
        <v>428.96000000000004</v>
      </c>
      <c r="H92" s="137">
        <f t="shared" si="17"/>
        <v>3.0117675485262642E-3</v>
      </c>
      <c r="I92" s="527"/>
      <c r="J92" s="527"/>
      <c r="K92" s="43"/>
      <c r="L92" s="43"/>
    </row>
    <row r="93" spans="1:12" s="44" customFormat="1" ht="36.75" thickBot="1" x14ac:dyDescent="0.3">
      <c r="A93" s="63" t="s">
        <v>535</v>
      </c>
      <c r="B93" s="104" t="s">
        <v>372</v>
      </c>
      <c r="C93" s="227" t="s">
        <v>371</v>
      </c>
      <c r="D93" s="130" t="s">
        <v>2</v>
      </c>
      <c r="E93" s="170">
        <v>1</v>
      </c>
      <c r="F93" s="19">
        <v>92.82</v>
      </c>
      <c r="G93" s="163">
        <f t="shared" ref="G93" si="22">E93*F93</f>
        <v>92.82</v>
      </c>
      <c r="H93" s="137">
        <f t="shared" si="17"/>
        <v>6.5169774303946244E-4</v>
      </c>
      <c r="I93" s="527"/>
      <c r="J93" s="527"/>
      <c r="K93" s="43"/>
      <c r="L93" s="43"/>
    </row>
    <row r="94" spans="1:12" s="41" customFormat="1" ht="18" customHeight="1" thickBot="1" x14ac:dyDescent="0.3">
      <c r="A94" s="40">
        <v>5</v>
      </c>
      <c r="B94" s="21"/>
      <c r="C94" s="15" t="s">
        <v>195</v>
      </c>
      <c r="D94" s="22"/>
      <c r="E94" s="366"/>
      <c r="F94" s="23"/>
      <c r="G94" s="164">
        <f>SUM(G95:G120)</f>
        <v>2963.6582748430005</v>
      </c>
      <c r="H94" s="137">
        <f t="shared" si="17"/>
        <v>2.0808116880579729E-2</v>
      </c>
      <c r="I94" s="526"/>
      <c r="J94" s="526"/>
      <c r="K94" s="42"/>
      <c r="L94" s="42"/>
    </row>
    <row r="95" spans="1:12" s="44" customFormat="1" ht="18" x14ac:dyDescent="0.25">
      <c r="A95" s="63" t="s">
        <v>234</v>
      </c>
      <c r="B95" s="104"/>
      <c r="C95" s="108" t="s">
        <v>187</v>
      </c>
      <c r="D95" s="106"/>
      <c r="E95" s="365"/>
      <c r="F95" s="107"/>
      <c r="G95" s="163"/>
      <c r="H95" s="137">
        <f t="shared" si="17"/>
        <v>0</v>
      </c>
      <c r="I95" s="527"/>
      <c r="J95" s="527"/>
      <c r="K95" s="43"/>
      <c r="L95" s="43"/>
    </row>
    <row r="96" spans="1:12" s="44" customFormat="1" ht="18" x14ac:dyDescent="0.25">
      <c r="A96" s="63" t="s">
        <v>235</v>
      </c>
      <c r="B96" s="104" t="s">
        <v>273</v>
      </c>
      <c r="C96" s="105" t="s">
        <v>274</v>
      </c>
      <c r="D96" s="106" t="s">
        <v>2</v>
      </c>
      <c r="E96" s="169">
        <v>1</v>
      </c>
      <c r="F96" s="107">
        <v>9.4600000000000009</v>
      </c>
      <c r="G96" s="163">
        <f>E96*F96</f>
        <v>9.4600000000000009</v>
      </c>
      <c r="H96" s="137">
        <f t="shared" si="17"/>
        <v>6.6419528648495112E-5</v>
      </c>
      <c r="I96" s="527"/>
      <c r="J96" s="527"/>
      <c r="K96" s="43"/>
      <c r="L96" s="43"/>
    </row>
    <row r="97" spans="1:12" s="44" customFormat="1" ht="18" x14ac:dyDescent="0.25">
      <c r="A97" s="63" t="s">
        <v>406</v>
      </c>
      <c r="B97" s="177" t="s">
        <v>276</v>
      </c>
      <c r="C97" s="105" t="s">
        <v>277</v>
      </c>
      <c r="D97" s="106" t="s">
        <v>2</v>
      </c>
      <c r="E97" s="169">
        <f>E96</f>
        <v>1</v>
      </c>
      <c r="F97" s="107">
        <v>14.94</v>
      </c>
      <c r="G97" s="163">
        <f t="shared" ref="G97" si="23">E97*F97</f>
        <v>14.94</v>
      </c>
      <c r="H97" s="137">
        <f t="shared" si="17"/>
        <v>1.0489511184022376E-4</v>
      </c>
      <c r="I97" s="527"/>
      <c r="J97" s="527"/>
      <c r="K97" s="43"/>
      <c r="L97" s="43"/>
    </row>
    <row r="98" spans="1:12" s="44" customFormat="1" ht="61.5" customHeight="1" x14ac:dyDescent="0.25">
      <c r="A98" s="63" t="s">
        <v>407</v>
      </c>
      <c r="B98" s="177" t="s">
        <v>268</v>
      </c>
      <c r="C98" s="105" t="s">
        <v>275</v>
      </c>
      <c r="D98" s="106" t="s">
        <v>2</v>
      </c>
      <c r="E98" s="169">
        <f>E96*4</f>
        <v>4</v>
      </c>
      <c r="F98" s="107">
        <v>0.61</v>
      </c>
      <c r="G98" s="163">
        <f t="shared" ref="G98" si="24">E98*F98</f>
        <v>2.44</v>
      </c>
      <c r="H98" s="137">
        <f t="shared" si="17"/>
        <v>1.7131464048871885E-5</v>
      </c>
      <c r="I98" s="535" t="s">
        <v>271</v>
      </c>
      <c r="J98" s="536"/>
      <c r="K98" s="43"/>
      <c r="L98" s="43"/>
    </row>
    <row r="99" spans="1:12" s="44" customFormat="1" ht="33" customHeight="1" x14ac:dyDescent="0.25">
      <c r="A99" s="63" t="s">
        <v>408</v>
      </c>
      <c r="B99" s="177" t="s">
        <v>257</v>
      </c>
      <c r="C99" s="105" t="str">
        <f>UPPER("Remoção de acessórios sanitários")</f>
        <v>REMOÇÃO DE ACESSÓRIOS SANITÁRIOS</v>
      </c>
      <c r="D99" s="106" t="s">
        <v>2</v>
      </c>
      <c r="E99" s="169">
        <f>1+1+1</f>
        <v>3</v>
      </c>
      <c r="F99" s="107">
        <v>10.42</v>
      </c>
      <c r="G99" s="163">
        <f t="shared" ref="G99" si="25">E99*F99</f>
        <v>31.259999999999998</v>
      </c>
      <c r="H99" s="137">
        <f t="shared" si="17"/>
        <v>2.1947933039661276E-4</v>
      </c>
      <c r="I99" s="535" t="s">
        <v>332</v>
      </c>
      <c r="J99" s="536"/>
      <c r="K99" s="43"/>
      <c r="L99" s="43"/>
    </row>
    <row r="100" spans="1:12" s="84" customFormat="1" ht="18" x14ac:dyDescent="0.25">
      <c r="A100" s="63" t="s">
        <v>409</v>
      </c>
      <c r="B100" s="165" t="s">
        <v>166</v>
      </c>
      <c r="C100" s="131" t="s">
        <v>252</v>
      </c>
      <c r="D100" s="20" t="s">
        <v>159</v>
      </c>
      <c r="E100" s="169">
        <f>((0.6*0.38*0.46)+(0.41*0.36*0.15))*E96</f>
        <v>0.12701999999999999</v>
      </c>
      <c r="F100" s="19">
        <f>COMPOSIÇÕES!$H$26</f>
        <v>29.489899999999999</v>
      </c>
      <c r="G100" s="163">
        <f>E100*F100</f>
        <v>3.7458070979999998</v>
      </c>
      <c r="H100" s="137">
        <f t="shared" si="17"/>
        <v>2.6299655587457429E-5</v>
      </c>
      <c r="I100" s="528"/>
      <c r="J100" s="528"/>
      <c r="K100" s="83"/>
      <c r="L100" s="83"/>
    </row>
    <row r="101" spans="1:12" s="84" customFormat="1" ht="18" x14ac:dyDescent="0.25">
      <c r="A101" s="63" t="s">
        <v>410</v>
      </c>
      <c r="B101" s="165" t="s">
        <v>166</v>
      </c>
      <c r="C101" s="127" t="s">
        <v>211</v>
      </c>
      <c r="D101" s="126" t="s">
        <v>159</v>
      </c>
      <c r="E101" s="169">
        <f>E100*1.3</f>
        <v>0.165126</v>
      </c>
      <c r="F101" s="19">
        <f>COMPOSIÇÕES!$H$33</f>
        <v>22.657499999999999</v>
      </c>
      <c r="G101" s="163">
        <f>E101*F101</f>
        <v>3.7413423449999996</v>
      </c>
      <c r="H101" s="137">
        <f t="shared" si="17"/>
        <v>2.6268308146676039E-5</v>
      </c>
      <c r="I101" s="528"/>
      <c r="J101" s="528"/>
      <c r="K101" s="83"/>
      <c r="L101" s="83"/>
    </row>
    <row r="102" spans="1:12" s="84" customFormat="1" ht="36" x14ac:dyDescent="0.25">
      <c r="A102" s="63" t="s">
        <v>411</v>
      </c>
      <c r="B102" s="128">
        <v>97914</v>
      </c>
      <c r="C102" s="129" t="s">
        <v>212</v>
      </c>
      <c r="D102" s="130" t="s">
        <v>213</v>
      </c>
      <c r="E102" s="169">
        <f>E101*20</f>
        <v>3.3025199999999999</v>
      </c>
      <c r="F102" s="19">
        <v>1.87</v>
      </c>
      <c r="G102" s="163">
        <f>E102*F102</f>
        <v>6.1757124000000001</v>
      </c>
      <c r="H102" s="137">
        <f t="shared" si="17"/>
        <v>4.3360243834742753E-5</v>
      </c>
      <c r="I102" s="528"/>
      <c r="J102" s="528"/>
      <c r="K102" s="83"/>
      <c r="L102" s="83"/>
    </row>
    <row r="103" spans="1:12" s="44" customFormat="1" ht="33" customHeight="1" x14ac:dyDescent="0.25">
      <c r="A103" s="63" t="s">
        <v>412</v>
      </c>
      <c r="B103" s="165" t="s">
        <v>166</v>
      </c>
      <c r="C103" s="105" t="s">
        <v>344</v>
      </c>
      <c r="D103" s="106" t="s">
        <v>1</v>
      </c>
      <c r="E103" s="169">
        <f>1.02*0.52</f>
        <v>0.53039999999999998</v>
      </c>
      <c r="F103" s="107">
        <f>COMPOSIÇÕES!$H$64</f>
        <v>25.57</v>
      </c>
      <c r="G103" s="163">
        <f t="shared" ref="G103" si="26">E103*F103</f>
        <v>13.562327999999999</v>
      </c>
      <c r="H103" s="137">
        <f t="shared" si="17"/>
        <v>9.5222350225823173E-5</v>
      </c>
      <c r="I103" s="535" t="s">
        <v>370</v>
      </c>
      <c r="J103" s="536"/>
      <c r="K103" s="43"/>
      <c r="L103" s="43"/>
    </row>
    <row r="104" spans="1:12" s="44" customFormat="1" ht="18" x14ac:dyDescent="0.25">
      <c r="A104" s="63" t="s">
        <v>413</v>
      </c>
      <c r="B104" s="165" t="s">
        <v>166</v>
      </c>
      <c r="C104" s="105" t="s">
        <v>373</v>
      </c>
      <c r="D104" s="106" t="s">
        <v>2</v>
      </c>
      <c r="E104" s="169">
        <v>1</v>
      </c>
      <c r="F104" s="107">
        <f>COMPOSIÇÕES!$H$87</f>
        <v>22.182780000000001</v>
      </c>
      <c r="G104" s="163">
        <f t="shared" ref="G104" si="27">E104*F104</f>
        <v>22.182780000000001</v>
      </c>
      <c r="H104" s="137">
        <f t="shared" si="17"/>
        <v>1.5574733527624359E-4</v>
      </c>
      <c r="I104" s="529"/>
      <c r="J104" s="530"/>
      <c r="K104" s="43"/>
      <c r="L104" s="43"/>
    </row>
    <row r="105" spans="1:12" s="44" customFormat="1" ht="18" x14ac:dyDescent="0.25">
      <c r="A105" s="63" t="s">
        <v>414</v>
      </c>
      <c r="B105" s="104"/>
      <c r="C105" s="108" t="s">
        <v>200</v>
      </c>
      <c r="D105" s="106"/>
      <c r="E105" s="365"/>
      <c r="F105" s="169"/>
      <c r="G105" s="163"/>
      <c r="H105" s="137">
        <f t="shared" si="17"/>
        <v>0</v>
      </c>
      <c r="I105" s="527"/>
      <c r="J105" s="527"/>
      <c r="K105" s="43"/>
      <c r="L105" s="43"/>
    </row>
    <row r="106" spans="1:12" s="80" customFormat="1" ht="54" x14ac:dyDescent="0.25">
      <c r="A106" s="63" t="s">
        <v>415</v>
      </c>
      <c r="B106" s="104" t="s">
        <v>573</v>
      </c>
      <c r="C106" s="105" t="s">
        <v>575</v>
      </c>
      <c r="D106" s="106" t="s">
        <v>2</v>
      </c>
      <c r="E106" s="169">
        <v>1</v>
      </c>
      <c r="F106" s="19">
        <v>1347.67</v>
      </c>
      <c r="G106" s="163">
        <f t="shared" ref="G106:G111" si="28">E106*F106</f>
        <v>1347.67</v>
      </c>
      <c r="H106" s="137">
        <f t="shared" ref="H106:H137" si="29">G106/$G$242</f>
        <v>9.4621148175176948E-3</v>
      </c>
      <c r="I106" s="527"/>
      <c r="J106" s="527"/>
      <c r="K106" s="79"/>
      <c r="L106" s="79"/>
    </row>
    <row r="107" spans="1:12" s="80" customFormat="1" ht="18" x14ac:dyDescent="0.25">
      <c r="A107" s="63" t="s">
        <v>416</v>
      </c>
      <c r="B107" s="207" t="s">
        <v>305</v>
      </c>
      <c r="C107" s="206" t="s">
        <v>204</v>
      </c>
      <c r="D107" s="106" t="s">
        <v>2</v>
      </c>
      <c r="E107" s="169">
        <v>1</v>
      </c>
      <c r="F107" s="19">
        <v>63.34</v>
      </c>
      <c r="G107" s="163">
        <f t="shared" si="28"/>
        <v>63.34</v>
      </c>
      <c r="H107" s="137">
        <f t="shared" si="29"/>
        <v>4.4471595608833826E-4</v>
      </c>
      <c r="I107" s="527"/>
      <c r="J107" s="527"/>
      <c r="K107" s="79"/>
      <c r="L107" s="79"/>
    </row>
    <row r="108" spans="1:12" s="80" customFormat="1" ht="18" x14ac:dyDescent="0.25">
      <c r="A108" s="63" t="s">
        <v>417</v>
      </c>
      <c r="B108" s="207" t="s">
        <v>308</v>
      </c>
      <c r="C108" s="206" t="s">
        <v>309</v>
      </c>
      <c r="D108" s="106" t="s">
        <v>2</v>
      </c>
      <c r="E108" s="169">
        <v>1</v>
      </c>
      <c r="F108" s="19">
        <v>54.4</v>
      </c>
      <c r="G108" s="163">
        <f t="shared" si="28"/>
        <v>54.4</v>
      </c>
      <c r="H108" s="137">
        <f t="shared" si="29"/>
        <v>3.8194739518796335E-4</v>
      </c>
      <c r="I108" s="527"/>
      <c r="J108" s="527"/>
      <c r="K108" s="79"/>
      <c r="L108" s="79"/>
    </row>
    <row r="109" spans="1:12" s="80" customFormat="1" ht="54" x14ac:dyDescent="0.25">
      <c r="A109" s="63" t="s">
        <v>525</v>
      </c>
      <c r="B109" s="208" t="s">
        <v>306</v>
      </c>
      <c r="C109" s="206" t="s">
        <v>307</v>
      </c>
      <c r="D109" s="106" t="s">
        <v>2</v>
      </c>
      <c r="E109" s="169">
        <v>1</v>
      </c>
      <c r="F109" s="19">
        <v>97.27</v>
      </c>
      <c r="G109" s="163">
        <f t="shared" si="28"/>
        <v>97.27</v>
      </c>
      <c r="H109" s="137">
        <f t="shared" si="29"/>
        <v>6.8294160165318371E-4</v>
      </c>
      <c r="I109" s="527"/>
      <c r="J109" s="527"/>
      <c r="K109" s="79"/>
      <c r="L109" s="79"/>
    </row>
    <row r="110" spans="1:12" s="80" customFormat="1" ht="36" x14ac:dyDescent="0.25">
      <c r="A110" s="63" t="s">
        <v>526</v>
      </c>
      <c r="B110" s="210" t="s">
        <v>310</v>
      </c>
      <c r="C110" s="209" t="s">
        <v>311</v>
      </c>
      <c r="D110" s="106" t="s">
        <v>1</v>
      </c>
      <c r="E110" s="169">
        <f>0.8*0.6</f>
        <v>0.48</v>
      </c>
      <c r="F110" s="19">
        <v>616.49</v>
      </c>
      <c r="G110" s="163">
        <f t="shared" si="28"/>
        <v>295.91519999999997</v>
      </c>
      <c r="H110" s="137">
        <f t="shared" si="29"/>
        <v>2.0776477911125957E-3</v>
      </c>
      <c r="I110" s="527"/>
      <c r="J110" s="527"/>
      <c r="K110" s="79"/>
      <c r="L110" s="79"/>
    </row>
    <row r="111" spans="1:12" s="44" customFormat="1" ht="36" x14ac:dyDescent="0.25">
      <c r="A111" s="63" t="s">
        <v>527</v>
      </c>
      <c r="B111" s="228" t="s">
        <v>367</v>
      </c>
      <c r="C111" s="367" t="s">
        <v>495</v>
      </c>
      <c r="D111" s="106" t="s">
        <v>154</v>
      </c>
      <c r="E111" s="169">
        <f>1+0.4</f>
        <v>1.4</v>
      </c>
      <c r="F111" s="107">
        <v>20.2</v>
      </c>
      <c r="G111" s="163">
        <f t="shared" si="28"/>
        <v>28.279999999999998</v>
      </c>
      <c r="H111" s="137">
        <f t="shared" si="29"/>
        <v>1.9855647676315447E-4</v>
      </c>
      <c r="I111" s="527"/>
      <c r="J111" s="527"/>
      <c r="K111" s="43"/>
      <c r="L111" s="43"/>
    </row>
    <row r="112" spans="1:12" s="44" customFormat="1" ht="18" x14ac:dyDescent="0.25">
      <c r="A112" s="63" t="s">
        <v>418</v>
      </c>
      <c r="B112" s="104"/>
      <c r="C112" s="108" t="s">
        <v>496</v>
      </c>
      <c r="D112" s="106"/>
      <c r="E112" s="169"/>
      <c r="F112" s="107"/>
      <c r="G112" s="163"/>
      <c r="H112" s="137">
        <f t="shared" si="29"/>
        <v>0</v>
      </c>
      <c r="I112" s="527"/>
      <c r="J112" s="527"/>
      <c r="K112" s="43"/>
      <c r="L112" s="43"/>
    </row>
    <row r="113" spans="1:12" s="44" customFormat="1" ht="54" x14ac:dyDescent="0.25">
      <c r="A113" s="63" t="s">
        <v>419</v>
      </c>
      <c r="B113" s="104" t="s">
        <v>319</v>
      </c>
      <c r="C113" s="105" t="s">
        <v>318</v>
      </c>
      <c r="D113" s="106" t="s">
        <v>154</v>
      </c>
      <c r="E113" s="169">
        <v>2.65</v>
      </c>
      <c r="F113" s="19">
        <v>8.49</v>
      </c>
      <c r="G113" s="163">
        <f t="shared" ref="G113" si="30">E113*F113</f>
        <v>22.4985</v>
      </c>
      <c r="H113" s="137">
        <f t="shared" si="29"/>
        <v>1.5796403438669843E-4</v>
      </c>
      <c r="I113" s="527"/>
      <c r="J113" s="527"/>
      <c r="K113" s="43"/>
      <c r="L113" s="43"/>
    </row>
    <row r="114" spans="1:12" s="80" customFormat="1" ht="18" x14ac:dyDescent="0.25">
      <c r="A114" s="63" t="s">
        <v>420</v>
      </c>
      <c r="B114" s="104" t="s">
        <v>166</v>
      </c>
      <c r="C114" s="105" t="s">
        <v>326</v>
      </c>
      <c r="D114" s="106" t="s">
        <v>2</v>
      </c>
      <c r="E114" s="169">
        <v>1</v>
      </c>
      <c r="F114" s="19">
        <f>COMPOSIÇÕES!$H$97</f>
        <v>69.737399999999994</v>
      </c>
      <c r="G114" s="163">
        <f>E114*F114</f>
        <v>69.737399999999994</v>
      </c>
      <c r="H114" s="137">
        <f t="shared" si="29"/>
        <v>4.8963268891876973E-4</v>
      </c>
      <c r="I114" s="527"/>
      <c r="J114" s="527"/>
      <c r="K114" s="79"/>
      <c r="L114" s="79"/>
    </row>
    <row r="115" spans="1:12" s="44" customFormat="1" ht="18" x14ac:dyDescent="0.25">
      <c r="A115" s="63" t="s">
        <v>536</v>
      </c>
      <c r="B115" s="104"/>
      <c r="C115" s="108" t="s">
        <v>199</v>
      </c>
      <c r="D115" s="106"/>
      <c r="E115" s="365"/>
      <c r="F115" s="169"/>
      <c r="G115" s="163"/>
      <c r="H115" s="137">
        <f t="shared" si="29"/>
        <v>0</v>
      </c>
      <c r="I115" s="527"/>
      <c r="J115" s="527"/>
      <c r="K115" s="43"/>
      <c r="L115" s="43"/>
    </row>
    <row r="116" spans="1:12" s="80" customFormat="1" ht="36" x14ac:dyDescent="0.25">
      <c r="A116" s="63" t="s">
        <v>537</v>
      </c>
      <c r="B116" s="104" t="s">
        <v>299</v>
      </c>
      <c r="C116" s="105" t="s">
        <v>300</v>
      </c>
      <c r="D116" s="106" t="s">
        <v>1</v>
      </c>
      <c r="E116" s="169">
        <f>0.1*2.65</f>
        <v>0.26500000000000001</v>
      </c>
      <c r="F116" s="19">
        <v>13.7</v>
      </c>
      <c r="G116" s="163">
        <f>E116*F116</f>
        <v>3.6305000000000001</v>
      </c>
      <c r="H116" s="137">
        <f t="shared" si="29"/>
        <v>2.5490073864520238E-5</v>
      </c>
      <c r="I116" s="527"/>
      <c r="J116" s="527"/>
      <c r="K116" s="79"/>
      <c r="L116" s="79"/>
    </row>
    <row r="117" spans="1:12" s="80" customFormat="1" ht="18" x14ac:dyDescent="0.25">
      <c r="A117" s="63" t="s">
        <v>538</v>
      </c>
      <c r="B117" s="104" t="s">
        <v>302</v>
      </c>
      <c r="C117" s="105" t="s">
        <v>503</v>
      </c>
      <c r="D117" s="106" t="s">
        <v>1</v>
      </c>
      <c r="E117" s="169">
        <f>(0.8*2.1*3)+((2.1+0.8+2.1)*0.15+(2.1+0.8+2.1)*0.07*2)</f>
        <v>6.4900000000000011</v>
      </c>
      <c r="F117" s="19">
        <v>18.57</v>
      </c>
      <c r="G117" s="163">
        <f>E117*F117</f>
        <v>120.51930000000002</v>
      </c>
      <c r="H117" s="137">
        <f t="shared" si="29"/>
        <v>8.461770717808221E-4</v>
      </c>
      <c r="I117" s="538" t="s">
        <v>375</v>
      </c>
      <c r="J117" s="538"/>
      <c r="K117" s="79"/>
      <c r="L117" s="79"/>
    </row>
    <row r="118" spans="1:12" s="44" customFormat="1" ht="18" x14ac:dyDescent="0.25">
      <c r="A118" s="63" t="s">
        <v>539</v>
      </c>
      <c r="B118" s="104" t="s">
        <v>291</v>
      </c>
      <c r="C118" s="105" t="s">
        <v>298</v>
      </c>
      <c r="D118" s="106" t="s">
        <v>1</v>
      </c>
      <c r="E118" s="169">
        <f>(2.1*0.7)+(1.05*2.95)+(1.05*2.95)+(2.13*2.65)+(2.1*0.06)+(2.1*0.41)</f>
        <v>14.2965</v>
      </c>
      <c r="F118" s="19">
        <v>46.17</v>
      </c>
      <c r="G118" s="163">
        <f>E118*F118</f>
        <v>660.06940500000007</v>
      </c>
      <c r="H118" s="137">
        <f t="shared" si="29"/>
        <v>4.634407902261376E-3</v>
      </c>
      <c r="I118" s="527"/>
      <c r="J118" s="527"/>
      <c r="K118" s="43"/>
      <c r="L118" s="43"/>
    </row>
    <row r="119" spans="1:12" s="44" customFormat="1" ht="18" x14ac:dyDescent="0.25">
      <c r="A119" s="63" t="s">
        <v>576</v>
      </c>
      <c r="B119" s="104"/>
      <c r="C119" s="108" t="s">
        <v>201</v>
      </c>
      <c r="D119" s="106"/>
      <c r="E119" s="169"/>
      <c r="F119" s="107"/>
      <c r="G119" s="163"/>
      <c r="H119" s="137">
        <f t="shared" si="29"/>
        <v>0</v>
      </c>
      <c r="I119" s="527"/>
      <c r="J119" s="527"/>
      <c r="K119" s="43"/>
      <c r="L119" s="43"/>
    </row>
    <row r="120" spans="1:12" s="44" customFormat="1" ht="36.75" thickBot="1" x14ac:dyDescent="0.3">
      <c r="A120" s="63" t="s">
        <v>577</v>
      </c>
      <c r="B120" s="104" t="s">
        <v>372</v>
      </c>
      <c r="C120" s="227" t="s">
        <v>371</v>
      </c>
      <c r="D120" s="130" t="s">
        <v>2</v>
      </c>
      <c r="E120" s="170">
        <v>1</v>
      </c>
      <c r="F120" s="19">
        <v>92.82</v>
      </c>
      <c r="G120" s="163">
        <f>E120*F120</f>
        <v>92.82</v>
      </c>
      <c r="H120" s="137">
        <f t="shared" si="29"/>
        <v>6.5169774303946244E-4</v>
      </c>
      <c r="I120" s="527"/>
      <c r="J120" s="527"/>
      <c r="K120" s="43"/>
      <c r="L120" s="43"/>
    </row>
    <row r="121" spans="1:12" s="41" customFormat="1" ht="18" customHeight="1" thickBot="1" x14ac:dyDescent="0.3">
      <c r="A121" s="40">
        <v>6</v>
      </c>
      <c r="B121" s="21"/>
      <c r="C121" s="15" t="s">
        <v>196</v>
      </c>
      <c r="D121" s="22"/>
      <c r="E121" s="366"/>
      <c r="F121" s="23"/>
      <c r="G121" s="164">
        <f>SUM(G122:G159)</f>
        <v>7361.9850736859989</v>
      </c>
      <c r="H121" s="137">
        <f t="shared" si="29"/>
        <v>5.1689173204173419E-2</v>
      </c>
      <c r="I121" s="526"/>
      <c r="J121" s="526"/>
      <c r="K121" s="42"/>
      <c r="L121" s="42"/>
    </row>
    <row r="122" spans="1:12" s="44" customFormat="1" ht="18" x14ac:dyDescent="0.25">
      <c r="A122" s="63" t="s">
        <v>236</v>
      </c>
      <c r="B122" s="104"/>
      <c r="C122" s="108" t="s">
        <v>187</v>
      </c>
      <c r="D122" s="106"/>
      <c r="E122" s="365"/>
      <c r="F122" s="107"/>
      <c r="G122" s="163"/>
      <c r="H122" s="137">
        <f t="shared" si="29"/>
        <v>0</v>
      </c>
      <c r="I122" s="527"/>
      <c r="J122" s="527"/>
      <c r="K122" s="43"/>
      <c r="L122" s="43"/>
    </row>
    <row r="123" spans="1:12" s="44" customFormat="1" ht="18" x14ac:dyDescent="0.25">
      <c r="A123" s="63" t="s">
        <v>237</v>
      </c>
      <c r="B123" s="104" t="s">
        <v>273</v>
      </c>
      <c r="C123" s="105" t="s">
        <v>274</v>
      </c>
      <c r="D123" s="106" t="s">
        <v>2</v>
      </c>
      <c r="E123" s="169">
        <v>2</v>
      </c>
      <c r="F123" s="107">
        <v>9.4600000000000009</v>
      </c>
      <c r="G123" s="163">
        <f>E123*F123</f>
        <v>18.920000000000002</v>
      </c>
      <c r="H123" s="137">
        <f t="shared" si="29"/>
        <v>1.3283905729699022E-4</v>
      </c>
      <c r="I123" s="527"/>
      <c r="J123" s="527"/>
      <c r="K123" s="43"/>
      <c r="L123" s="43"/>
    </row>
    <row r="124" spans="1:12" s="44" customFormat="1" ht="18" x14ac:dyDescent="0.25">
      <c r="A124" s="63" t="s">
        <v>238</v>
      </c>
      <c r="B124" s="177" t="s">
        <v>276</v>
      </c>
      <c r="C124" s="105" t="s">
        <v>277</v>
      </c>
      <c r="D124" s="106" t="s">
        <v>2</v>
      </c>
      <c r="E124" s="169">
        <f>E123</f>
        <v>2</v>
      </c>
      <c r="F124" s="107">
        <v>14.94</v>
      </c>
      <c r="G124" s="163">
        <f>E124*F124</f>
        <v>29.88</v>
      </c>
      <c r="H124" s="137">
        <f t="shared" si="29"/>
        <v>2.0979022368044752E-4</v>
      </c>
      <c r="I124" s="527"/>
      <c r="J124" s="527"/>
      <c r="K124" s="43"/>
      <c r="L124" s="43"/>
    </row>
    <row r="125" spans="1:12" s="44" customFormat="1" ht="61.5" customHeight="1" x14ac:dyDescent="0.25">
      <c r="A125" s="63" t="s">
        <v>421</v>
      </c>
      <c r="B125" s="177" t="s">
        <v>268</v>
      </c>
      <c r="C125" s="105" t="s">
        <v>275</v>
      </c>
      <c r="D125" s="106" t="s">
        <v>2</v>
      </c>
      <c r="E125" s="169">
        <f>E123*5</f>
        <v>10</v>
      </c>
      <c r="F125" s="107">
        <v>0.61</v>
      </c>
      <c r="G125" s="163">
        <f>E125*F125</f>
        <v>6.1</v>
      </c>
      <c r="H125" s="137">
        <f t="shared" si="29"/>
        <v>4.2828660122179715E-5</v>
      </c>
      <c r="I125" s="535" t="s">
        <v>272</v>
      </c>
      <c r="J125" s="536"/>
      <c r="K125" s="43"/>
      <c r="L125" s="43"/>
    </row>
    <row r="126" spans="1:12" s="44" customFormat="1" ht="45" customHeight="1" x14ac:dyDescent="0.25">
      <c r="A126" s="63" t="s">
        <v>422</v>
      </c>
      <c r="B126" s="177" t="s">
        <v>257</v>
      </c>
      <c r="C126" s="105" t="str">
        <f>UPPER("Remoção de acessórios sanitários")</f>
        <v>REMOÇÃO DE ACESSÓRIOS SANITÁRIOS</v>
      </c>
      <c r="D126" s="106" t="s">
        <v>2</v>
      </c>
      <c r="E126" s="169">
        <f>1+1+1</f>
        <v>3</v>
      </c>
      <c r="F126" s="107">
        <v>10.42</v>
      </c>
      <c r="G126" s="163">
        <f t="shared" ref="G126:G127" si="31">E126*F126</f>
        <v>31.259999999999998</v>
      </c>
      <c r="H126" s="137">
        <f t="shared" si="29"/>
        <v>2.1947933039661276E-4</v>
      </c>
      <c r="I126" s="535" t="s">
        <v>335</v>
      </c>
      <c r="J126" s="536"/>
      <c r="K126" s="43"/>
      <c r="L126" s="43"/>
    </row>
    <row r="127" spans="1:12" s="44" customFormat="1" ht="18" x14ac:dyDescent="0.25">
      <c r="A127" s="63" t="s">
        <v>423</v>
      </c>
      <c r="B127" s="177" t="s">
        <v>336</v>
      </c>
      <c r="C127" s="105" t="s">
        <v>333</v>
      </c>
      <c r="D127" s="106" t="s">
        <v>2</v>
      </c>
      <c r="E127" s="169">
        <v>1</v>
      </c>
      <c r="F127" s="107">
        <v>14.94</v>
      </c>
      <c r="G127" s="163">
        <f t="shared" si="31"/>
        <v>14.94</v>
      </c>
      <c r="H127" s="137">
        <f t="shared" si="29"/>
        <v>1.0489511184022376E-4</v>
      </c>
      <c r="I127" s="531" t="s">
        <v>349</v>
      </c>
      <c r="J127" s="531"/>
      <c r="K127" s="43"/>
      <c r="L127" s="43"/>
    </row>
    <row r="128" spans="1:12" s="44" customFormat="1" ht="18" x14ac:dyDescent="0.25">
      <c r="A128" s="63" t="s">
        <v>424</v>
      </c>
      <c r="B128" s="165" t="s">
        <v>166</v>
      </c>
      <c r="C128" s="105" t="s">
        <v>344</v>
      </c>
      <c r="D128" s="106" t="s">
        <v>1</v>
      </c>
      <c r="E128" s="169">
        <f>1.6*0.52</f>
        <v>0.83200000000000007</v>
      </c>
      <c r="F128" s="107">
        <f>COMPOSIÇÕES!$H$64</f>
        <v>25.57</v>
      </c>
      <c r="G128" s="163">
        <f t="shared" ref="G128" si="32">E128*F128</f>
        <v>21.274240000000002</v>
      </c>
      <c r="H128" s="137">
        <f t="shared" si="29"/>
        <v>1.493683925110952E-4</v>
      </c>
      <c r="I128" s="527"/>
      <c r="J128" s="527"/>
      <c r="K128" s="43"/>
      <c r="L128" s="43"/>
    </row>
    <row r="129" spans="1:12" s="44" customFormat="1" ht="18" x14ac:dyDescent="0.25">
      <c r="A129" s="63" t="s">
        <v>425</v>
      </c>
      <c r="B129" s="165" t="s">
        <v>166</v>
      </c>
      <c r="C129" s="105" t="s">
        <v>501</v>
      </c>
      <c r="D129" s="106" t="s">
        <v>2</v>
      </c>
      <c r="E129" s="169">
        <v>2</v>
      </c>
      <c r="F129" s="107">
        <f>COMPOSIÇÕES!$H$71</f>
        <v>14.567499999999999</v>
      </c>
      <c r="G129" s="163">
        <f t="shared" ref="G129" si="33">E129*F129</f>
        <v>29.134999999999998</v>
      </c>
      <c r="H129" s="137">
        <f t="shared" si="29"/>
        <v>2.0455951027208293E-4</v>
      </c>
      <c r="I129" s="527"/>
      <c r="J129" s="527"/>
      <c r="K129" s="43"/>
      <c r="L129" s="43"/>
    </row>
    <row r="130" spans="1:12" s="44" customFormat="1" ht="36" x14ac:dyDescent="0.25">
      <c r="A130" s="63" t="s">
        <v>426</v>
      </c>
      <c r="B130" s="128" t="s">
        <v>353</v>
      </c>
      <c r="C130" s="227" t="s">
        <v>566</v>
      </c>
      <c r="D130" s="130" t="s">
        <v>1</v>
      </c>
      <c r="E130" s="170">
        <f>0.8*2.1</f>
        <v>1.6800000000000002</v>
      </c>
      <c r="F130" s="19">
        <v>11.72</v>
      </c>
      <c r="G130" s="163">
        <f>E130*F130</f>
        <v>19.689600000000002</v>
      </c>
      <c r="H130" s="137">
        <f t="shared" si="29"/>
        <v>1.3824248956420816E-4</v>
      </c>
      <c r="I130" s="527"/>
      <c r="J130" s="527"/>
      <c r="K130" s="43"/>
      <c r="L130" s="43"/>
    </row>
    <row r="131" spans="1:12" s="84" customFormat="1" ht="18" x14ac:dyDescent="0.25">
      <c r="A131" s="63" t="s">
        <v>427</v>
      </c>
      <c r="B131" s="165" t="s">
        <v>166</v>
      </c>
      <c r="C131" s="131" t="s">
        <v>252</v>
      </c>
      <c r="D131" s="20" t="s">
        <v>159</v>
      </c>
      <c r="E131" s="170">
        <f>((0.6*0.38*0.46)+(0.41*0.36*0.15))*E123</f>
        <v>0.25403999999999999</v>
      </c>
      <c r="F131" s="19">
        <f>COMPOSIÇÕES!$H$26</f>
        <v>29.489899999999999</v>
      </c>
      <c r="G131" s="163">
        <f t="shared" ref="G131:G133" si="34">E131*F131</f>
        <v>7.4916141959999996</v>
      </c>
      <c r="H131" s="137">
        <f t="shared" si="29"/>
        <v>5.2599311174914858E-5</v>
      </c>
      <c r="I131" s="516"/>
      <c r="J131" s="516"/>
      <c r="K131" s="83"/>
      <c r="L131" s="83"/>
    </row>
    <row r="132" spans="1:12" s="84" customFormat="1" ht="18" x14ac:dyDescent="0.25">
      <c r="A132" s="63" t="s">
        <v>428</v>
      </c>
      <c r="B132" s="165" t="s">
        <v>166</v>
      </c>
      <c r="C132" s="127" t="s">
        <v>211</v>
      </c>
      <c r="D132" s="126" t="s">
        <v>159</v>
      </c>
      <c r="E132" s="170">
        <f>E131*1.3</f>
        <v>0.33025199999999999</v>
      </c>
      <c r="F132" s="19">
        <f>COMPOSIÇÕES!$H$33</f>
        <v>22.657499999999999</v>
      </c>
      <c r="G132" s="163">
        <f t="shared" si="34"/>
        <v>7.4826846899999993</v>
      </c>
      <c r="H132" s="137">
        <f t="shared" si="29"/>
        <v>5.2536616293352079E-5</v>
      </c>
      <c r="I132" s="516"/>
      <c r="J132" s="516"/>
      <c r="K132" s="83"/>
      <c r="L132" s="83"/>
    </row>
    <row r="133" spans="1:12" s="84" customFormat="1" ht="36" x14ac:dyDescent="0.25">
      <c r="A133" s="63" t="s">
        <v>429</v>
      </c>
      <c r="B133" s="128">
        <v>97914</v>
      </c>
      <c r="C133" s="129" t="s">
        <v>212</v>
      </c>
      <c r="D133" s="130" t="s">
        <v>213</v>
      </c>
      <c r="E133" s="170">
        <f>E132*20</f>
        <v>6.6050399999999998</v>
      </c>
      <c r="F133" s="19">
        <v>1.87</v>
      </c>
      <c r="G133" s="163">
        <f t="shared" si="34"/>
        <v>12.3514248</v>
      </c>
      <c r="H133" s="137">
        <f t="shared" si="29"/>
        <v>8.6720487669485506E-5</v>
      </c>
      <c r="I133" s="516"/>
      <c r="J133" s="516"/>
      <c r="K133" s="83"/>
      <c r="L133" s="83"/>
    </row>
    <row r="134" spans="1:12" s="44" customFormat="1" ht="18" x14ac:dyDescent="0.25">
      <c r="A134" s="63" t="s">
        <v>565</v>
      </c>
      <c r="B134" s="128" t="s">
        <v>166</v>
      </c>
      <c r="C134" s="227" t="s">
        <v>350</v>
      </c>
      <c r="D134" s="130" t="s">
        <v>2</v>
      </c>
      <c r="E134" s="170">
        <v>1</v>
      </c>
      <c r="F134" s="19">
        <f>COMPOSIÇÕES!$H$103</f>
        <v>24.27</v>
      </c>
      <c r="G134" s="163">
        <f t="shared" ref="G134" si="35">E134*F134</f>
        <v>24.27</v>
      </c>
      <c r="H134" s="137">
        <f t="shared" si="29"/>
        <v>1.7040189855168879E-4</v>
      </c>
      <c r="I134" s="515"/>
      <c r="J134" s="515"/>
      <c r="K134" s="43"/>
      <c r="L134" s="43"/>
    </row>
    <row r="135" spans="1:12" s="80" customFormat="1" ht="18" x14ac:dyDescent="0.25">
      <c r="A135" s="63" t="s">
        <v>239</v>
      </c>
      <c r="B135" s="101"/>
      <c r="C135" s="108" t="s">
        <v>200</v>
      </c>
      <c r="D135" s="102"/>
      <c r="E135" s="365"/>
      <c r="F135" s="169"/>
      <c r="G135" s="163"/>
      <c r="H135" s="137">
        <f t="shared" si="29"/>
        <v>0</v>
      </c>
      <c r="I135" s="515"/>
      <c r="J135" s="515"/>
      <c r="K135" s="79"/>
      <c r="L135" s="79"/>
    </row>
    <row r="136" spans="1:12" s="80" customFormat="1" ht="36" x14ac:dyDescent="0.25">
      <c r="A136" s="45" t="s">
        <v>240</v>
      </c>
      <c r="B136" s="104" t="s">
        <v>315</v>
      </c>
      <c r="C136" s="105" t="s">
        <v>314</v>
      </c>
      <c r="D136" s="106" t="s">
        <v>2</v>
      </c>
      <c r="E136" s="169">
        <v>1</v>
      </c>
      <c r="F136" s="19">
        <v>421.48</v>
      </c>
      <c r="G136" s="163">
        <f t="shared" ref="G136:G143" si="36">E136*F136</f>
        <v>421.48</v>
      </c>
      <c r="H136" s="137">
        <f t="shared" si="29"/>
        <v>2.9592497816879194E-3</v>
      </c>
      <c r="I136" s="515"/>
      <c r="J136" s="515"/>
      <c r="K136" s="79"/>
      <c r="L136" s="79"/>
    </row>
    <row r="137" spans="1:12" s="80" customFormat="1" ht="54" x14ac:dyDescent="0.25">
      <c r="A137" s="45" t="s">
        <v>540</v>
      </c>
      <c r="B137" s="104" t="s">
        <v>573</v>
      </c>
      <c r="C137" s="105" t="s">
        <v>575</v>
      </c>
      <c r="D137" s="106" t="s">
        <v>2</v>
      </c>
      <c r="E137" s="169">
        <v>2</v>
      </c>
      <c r="F137" s="19">
        <v>1347.67</v>
      </c>
      <c r="G137" s="163">
        <f t="shared" si="36"/>
        <v>2695.34</v>
      </c>
      <c r="H137" s="137">
        <f t="shared" si="29"/>
        <v>1.892422963503539E-2</v>
      </c>
      <c r="I137" s="515"/>
      <c r="J137" s="515"/>
      <c r="K137" s="79"/>
      <c r="L137" s="79"/>
    </row>
    <row r="138" spans="1:12" s="80" customFormat="1" ht="36" x14ac:dyDescent="0.25">
      <c r="A138" s="45" t="s">
        <v>541</v>
      </c>
      <c r="B138" s="104" t="s">
        <v>317</v>
      </c>
      <c r="C138" s="105" t="s">
        <v>568</v>
      </c>
      <c r="D138" s="106" t="s">
        <v>2</v>
      </c>
      <c r="E138" s="169">
        <v>2</v>
      </c>
      <c r="F138" s="19">
        <v>259.57</v>
      </c>
      <c r="G138" s="163">
        <f t="shared" si="36"/>
        <v>519.14</v>
      </c>
      <c r="H138" s="137">
        <f t="shared" ref="H138:H177" si="37">G138/$G$242</f>
        <v>3.644929609152193E-3</v>
      </c>
      <c r="I138" s="515"/>
      <c r="J138" s="515"/>
      <c r="K138" s="79"/>
      <c r="L138" s="79"/>
    </row>
    <row r="139" spans="1:12" s="80" customFormat="1" ht="18" x14ac:dyDescent="0.25">
      <c r="A139" s="45" t="s">
        <v>542</v>
      </c>
      <c r="B139" s="207" t="s">
        <v>305</v>
      </c>
      <c r="C139" s="206" t="s">
        <v>204</v>
      </c>
      <c r="D139" s="106" t="s">
        <v>2</v>
      </c>
      <c r="E139" s="169">
        <v>1</v>
      </c>
      <c r="F139" s="19">
        <v>63.34</v>
      </c>
      <c r="G139" s="163">
        <f t="shared" si="36"/>
        <v>63.34</v>
      </c>
      <c r="H139" s="137">
        <f t="shared" si="37"/>
        <v>4.4471595608833826E-4</v>
      </c>
      <c r="I139" s="515"/>
      <c r="J139" s="515"/>
      <c r="K139" s="79"/>
      <c r="L139" s="79"/>
    </row>
    <row r="140" spans="1:12" s="80" customFormat="1" ht="18" x14ac:dyDescent="0.25">
      <c r="A140" s="45" t="s">
        <v>543</v>
      </c>
      <c r="B140" s="207" t="s">
        <v>308</v>
      </c>
      <c r="C140" s="206" t="s">
        <v>309</v>
      </c>
      <c r="D140" s="106" t="s">
        <v>2</v>
      </c>
      <c r="E140" s="169">
        <v>2</v>
      </c>
      <c r="F140" s="19">
        <v>54.4</v>
      </c>
      <c r="G140" s="163">
        <f t="shared" si="36"/>
        <v>108.8</v>
      </c>
      <c r="H140" s="137">
        <f t="shared" si="37"/>
        <v>7.638947903759267E-4</v>
      </c>
      <c r="I140" s="515"/>
      <c r="J140" s="515"/>
      <c r="K140" s="79"/>
      <c r="L140" s="79"/>
    </row>
    <row r="141" spans="1:12" s="80" customFormat="1" ht="54" x14ac:dyDescent="0.25">
      <c r="A141" s="45" t="s">
        <v>544</v>
      </c>
      <c r="B141" s="208" t="s">
        <v>306</v>
      </c>
      <c r="C141" s="206" t="s">
        <v>307</v>
      </c>
      <c r="D141" s="106" t="s">
        <v>2</v>
      </c>
      <c r="E141" s="169">
        <v>1</v>
      </c>
      <c r="F141" s="19">
        <v>97.27</v>
      </c>
      <c r="G141" s="163">
        <f t="shared" si="36"/>
        <v>97.27</v>
      </c>
      <c r="H141" s="137">
        <f t="shared" si="37"/>
        <v>6.8294160165318371E-4</v>
      </c>
      <c r="I141" s="515"/>
      <c r="J141" s="515"/>
      <c r="K141" s="79"/>
      <c r="L141" s="79"/>
    </row>
    <row r="142" spans="1:12" s="80" customFormat="1" ht="18" x14ac:dyDescent="0.25">
      <c r="A142" s="45" t="s">
        <v>545</v>
      </c>
      <c r="B142" s="208">
        <v>86883</v>
      </c>
      <c r="C142" s="206" t="s">
        <v>334</v>
      </c>
      <c r="D142" s="106" t="s">
        <v>2</v>
      </c>
      <c r="E142" s="169">
        <v>1</v>
      </c>
      <c r="F142" s="19">
        <v>8.98</v>
      </c>
      <c r="G142" s="163">
        <f t="shared" ref="G142" si="38">E142*F142</f>
        <v>8.98</v>
      </c>
      <c r="H142" s="137">
        <f t="shared" si="37"/>
        <v>6.3049404573307187E-5</v>
      </c>
      <c r="I142" s="515"/>
      <c r="J142" s="515"/>
      <c r="K142" s="79"/>
      <c r="L142" s="79"/>
    </row>
    <row r="143" spans="1:12" s="75" customFormat="1" ht="36" x14ac:dyDescent="0.25">
      <c r="A143" s="45" t="s">
        <v>546</v>
      </c>
      <c r="B143" s="210" t="s">
        <v>310</v>
      </c>
      <c r="C143" s="209" t="s">
        <v>311</v>
      </c>
      <c r="D143" s="106" t="s">
        <v>1</v>
      </c>
      <c r="E143" s="170">
        <f>2*0.8*0.6</f>
        <v>0.96</v>
      </c>
      <c r="F143" s="19">
        <v>616.49</v>
      </c>
      <c r="G143" s="163">
        <f t="shared" si="36"/>
        <v>591.83039999999994</v>
      </c>
      <c r="H143" s="137">
        <f t="shared" si="37"/>
        <v>4.1552955822251915E-3</v>
      </c>
      <c r="I143" s="517"/>
      <c r="J143" s="518"/>
      <c r="K143" s="74"/>
      <c r="L143" s="74"/>
    </row>
    <row r="144" spans="1:12" s="44" customFormat="1" ht="36" x14ac:dyDescent="0.25">
      <c r="A144" s="45" t="s">
        <v>547</v>
      </c>
      <c r="B144" s="228" t="s">
        <v>367</v>
      </c>
      <c r="C144" s="367" t="s">
        <v>495</v>
      </c>
      <c r="D144" s="106" t="s">
        <v>154</v>
      </c>
      <c r="E144" s="169">
        <v>1.6</v>
      </c>
      <c r="F144" s="107">
        <v>20.2</v>
      </c>
      <c r="G144" s="163">
        <f t="shared" ref="G144" si="39">E144*F144</f>
        <v>32.32</v>
      </c>
      <c r="H144" s="137">
        <f t="shared" si="37"/>
        <v>2.2692168772931942E-4</v>
      </c>
      <c r="I144" s="515"/>
      <c r="J144" s="515"/>
      <c r="K144" s="43"/>
      <c r="L144" s="43"/>
    </row>
    <row r="145" spans="1:12" s="44" customFormat="1" ht="18" x14ac:dyDescent="0.25">
      <c r="A145" s="63" t="s">
        <v>241</v>
      </c>
      <c r="B145" s="104"/>
      <c r="C145" s="108" t="s">
        <v>496</v>
      </c>
      <c r="D145" s="106"/>
      <c r="E145" s="169"/>
      <c r="F145" s="107"/>
      <c r="G145" s="163"/>
      <c r="H145" s="137">
        <f t="shared" si="37"/>
        <v>0</v>
      </c>
      <c r="I145" s="515"/>
      <c r="J145" s="515"/>
      <c r="K145" s="43"/>
      <c r="L145" s="43"/>
    </row>
    <row r="146" spans="1:12" s="44" customFormat="1" ht="54" x14ac:dyDescent="0.25">
      <c r="A146" s="63" t="s">
        <v>243</v>
      </c>
      <c r="B146" s="104" t="s">
        <v>319</v>
      </c>
      <c r="C146" s="105" t="s">
        <v>318</v>
      </c>
      <c r="D146" s="106" t="s">
        <v>154</v>
      </c>
      <c r="E146" s="169">
        <f>20*0.15+13*0.15+8*0.15</f>
        <v>6.15</v>
      </c>
      <c r="F146" s="19">
        <v>8.49</v>
      </c>
      <c r="G146" s="163">
        <f t="shared" ref="G146" si="40">E146*F146</f>
        <v>52.213500000000003</v>
      </c>
      <c r="H146" s="137">
        <f t="shared" si="37"/>
        <v>3.6659577791630011E-4</v>
      </c>
      <c r="I146" s="515"/>
      <c r="J146" s="515"/>
      <c r="K146" s="43"/>
      <c r="L146" s="43"/>
    </row>
    <row r="147" spans="1:12" s="117" customFormat="1" ht="18" x14ac:dyDescent="0.25">
      <c r="A147" s="63" t="s">
        <v>242</v>
      </c>
      <c r="B147" s="113"/>
      <c r="C147" s="114" t="s">
        <v>197</v>
      </c>
      <c r="D147" s="115"/>
      <c r="E147" s="365"/>
      <c r="F147" s="19"/>
      <c r="G147" s="163"/>
      <c r="H147" s="137">
        <f t="shared" si="37"/>
        <v>0</v>
      </c>
      <c r="I147" s="515"/>
      <c r="J147" s="515"/>
      <c r="K147" s="116"/>
      <c r="L147" s="116"/>
    </row>
    <row r="148" spans="1:12" s="117" customFormat="1" ht="54" x14ac:dyDescent="0.25">
      <c r="A148" s="45" t="s">
        <v>244</v>
      </c>
      <c r="B148" s="113" t="s">
        <v>280</v>
      </c>
      <c r="C148" s="118" t="s">
        <v>279</v>
      </c>
      <c r="D148" s="115" t="s">
        <v>1</v>
      </c>
      <c r="E148" s="169">
        <f>(18+6)*0.15*0.15</f>
        <v>0.53999999999999992</v>
      </c>
      <c r="F148" s="19">
        <v>25.91</v>
      </c>
      <c r="G148" s="163">
        <f t="shared" ref="G148" si="41">E148*F148</f>
        <v>13.991399999999999</v>
      </c>
      <c r="H148" s="137">
        <f t="shared" si="37"/>
        <v>9.8234904136633639E-5</v>
      </c>
      <c r="I148" s="515"/>
      <c r="J148" s="515"/>
      <c r="K148" s="116"/>
      <c r="L148" s="116"/>
    </row>
    <row r="149" spans="1:12" s="44" customFormat="1" ht="18" x14ac:dyDescent="0.25">
      <c r="A149" s="63" t="s">
        <v>548</v>
      </c>
      <c r="B149" s="104"/>
      <c r="C149" s="108" t="s">
        <v>199</v>
      </c>
      <c r="D149" s="106"/>
      <c r="E149" s="365"/>
      <c r="F149" s="169"/>
      <c r="G149" s="163"/>
      <c r="H149" s="137">
        <f t="shared" si="37"/>
        <v>0</v>
      </c>
      <c r="I149" s="515"/>
      <c r="J149" s="515"/>
      <c r="K149" s="43"/>
      <c r="L149" s="43"/>
    </row>
    <row r="150" spans="1:12" s="44" customFormat="1" ht="36" x14ac:dyDescent="0.25">
      <c r="A150" s="63" t="s">
        <v>549</v>
      </c>
      <c r="B150" s="104" t="s">
        <v>292</v>
      </c>
      <c r="C150" s="105" t="s">
        <v>293</v>
      </c>
      <c r="D150" s="106" t="s">
        <v>1</v>
      </c>
      <c r="E150" s="169">
        <f>(1.94+1.43+0.82)*1.9*2-0.6*1.6*2*2</f>
        <v>12.082000000000001</v>
      </c>
      <c r="F150" s="19">
        <v>9.9</v>
      </c>
      <c r="G150" s="163">
        <f t="shared" ref="G150:G154" si="42">E150*F150</f>
        <v>119.61180000000002</v>
      </c>
      <c r="H150" s="137">
        <f t="shared" si="37"/>
        <v>8.3980543095116993E-4</v>
      </c>
      <c r="I150" s="515"/>
      <c r="J150" s="515"/>
      <c r="K150" s="43"/>
      <c r="L150" s="43"/>
    </row>
    <row r="151" spans="1:12" s="44" customFormat="1" ht="39" customHeight="1" x14ac:dyDescent="0.25">
      <c r="A151" s="63" t="s">
        <v>550</v>
      </c>
      <c r="B151" s="104" t="s">
        <v>297</v>
      </c>
      <c r="C151" s="105" t="s">
        <v>296</v>
      </c>
      <c r="D151" s="106" t="s">
        <v>1</v>
      </c>
      <c r="E151" s="169">
        <f>E150</f>
        <v>12.082000000000001</v>
      </c>
      <c r="F151" s="19">
        <v>13.85</v>
      </c>
      <c r="G151" s="163">
        <f t="shared" si="42"/>
        <v>167.3357</v>
      </c>
      <c r="H151" s="137">
        <f t="shared" si="37"/>
        <v>1.1748793150175457E-3</v>
      </c>
      <c r="I151" s="515"/>
      <c r="J151" s="515"/>
      <c r="K151" s="43"/>
      <c r="L151" s="43"/>
    </row>
    <row r="152" spans="1:12" s="44" customFormat="1" ht="36" x14ac:dyDescent="0.25">
      <c r="A152" s="63" t="s">
        <v>551</v>
      </c>
      <c r="B152" s="104" t="s">
        <v>294</v>
      </c>
      <c r="C152" s="105" t="s">
        <v>295</v>
      </c>
      <c r="D152" s="106" t="s">
        <v>1</v>
      </c>
      <c r="E152" s="169">
        <f>E150</f>
        <v>12.082000000000001</v>
      </c>
      <c r="F152" s="19">
        <v>9.3800000000000008</v>
      </c>
      <c r="G152" s="163">
        <f t="shared" si="42"/>
        <v>113.32916000000002</v>
      </c>
      <c r="H152" s="137">
        <f t="shared" si="37"/>
        <v>7.956944386183812E-4</v>
      </c>
      <c r="I152" s="515"/>
      <c r="J152" s="515"/>
      <c r="K152" s="43"/>
      <c r="L152" s="43"/>
    </row>
    <row r="153" spans="1:12" s="44" customFormat="1" ht="39" customHeight="1" x14ac:dyDescent="0.25">
      <c r="A153" s="63" t="s">
        <v>552</v>
      </c>
      <c r="B153" s="104" t="s">
        <v>299</v>
      </c>
      <c r="C153" s="105" t="s">
        <v>343</v>
      </c>
      <c r="D153" s="106" t="s">
        <v>1</v>
      </c>
      <c r="E153" s="169">
        <f>0.1*(3+13*0.15+8*0.15+8*0.15)</f>
        <v>0.7350000000000001</v>
      </c>
      <c r="F153" s="19">
        <v>13.7</v>
      </c>
      <c r="G153" s="163">
        <f t="shared" si="42"/>
        <v>10.069500000000001</v>
      </c>
      <c r="H153" s="137">
        <f t="shared" si="37"/>
        <v>7.0698884114801423E-5</v>
      </c>
      <c r="I153" s="515"/>
      <c r="J153" s="515"/>
      <c r="K153" s="43"/>
      <c r="L153" s="43"/>
    </row>
    <row r="154" spans="1:12" s="44" customFormat="1" ht="18" x14ac:dyDescent="0.25">
      <c r="A154" s="63" t="s">
        <v>553</v>
      </c>
      <c r="B154" s="104" t="s">
        <v>302</v>
      </c>
      <c r="C154" s="105" t="s">
        <v>567</v>
      </c>
      <c r="D154" s="106" t="s">
        <v>1</v>
      </c>
      <c r="E154" s="169">
        <f>(0.8*2.1*3)</f>
        <v>5.0400000000000009</v>
      </c>
      <c r="F154" s="19">
        <v>18.57</v>
      </c>
      <c r="G154" s="163">
        <f t="shared" si="42"/>
        <v>93.592800000000025</v>
      </c>
      <c r="H154" s="137">
        <f t="shared" si="37"/>
        <v>6.571236428005152E-4</v>
      </c>
      <c r="I154" s="515"/>
      <c r="J154" s="515"/>
      <c r="K154" s="43"/>
      <c r="L154" s="43"/>
    </row>
    <row r="155" spans="1:12" s="44" customFormat="1" ht="18" x14ac:dyDescent="0.25">
      <c r="A155" s="63" t="s">
        <v>554</v>
      </c>
      <c r="B155" s="104" t="s">
        <v>291</v>
      </c>
      <c r="C155" s="105" t="s">
        <v>298</v>
      </c>
      <c r="D155" s="106" t="s">
        <v>1</v>
      </c>
      <c r="E155" s="169">
        <f>(1.2*2.15)+(1.95*1.9)+(2*2.17)</f>
        <v>10.625</v>
      </c>
      <c r="F155" s="19">
        <v>46.17</v>
      </c>
      <c r="G155" s="163">
        <f t="shared" ref="G155" si="43">E155*F155</f>
        <v>490.55625000000003</v>
      </c>
      <c r="H155" s="137">
        <f t="shared" si="37"/>
        <v>3.4442404757477089E-3</v>
      </c>
      <c r="I155" s="515"/>
      <c r="J155" s="515"/>
      <c r="K155" s="43"/>
      <c r="L155" s="43"/>
    </row>
    <row r="156" spans="1:12" s="44" customFormat="1" ht="18" x14ac:dyDescent="0.25">
      <c r="A156" s="63" t="s">
        <v>555</v>
      </c>
      <c r="B156" s="104"/>
      <c r="C156" s="108" t="s">
        <v>201</v>
      </c>
      <c r="D156" s="106"/>
      <c r="E156" s="169"/>
      <c r="F156" s="107"/>
      <c r="G156" s="163"/>
      <c r="H156" s="137">
        <f t="shared" si="37"/>
        <v>0</v>
      </c>
      <c r="I156" s="515"/>
      <c r="J156" s="515"/>
      <c r="K156" s="43"/>
      <c r="L156" s="43"/>
    </row>
    <row r="157" spans="1:12" s="44" customFormat="1" ht="36" x14ac:dyDescent="0.25">
      <c r="A157" s="63" t="s">
        <v>556</v>
      </c>
      <c r="B157" s="128" t="s">
        <v>166</v>
      </c>
      <c r="C157" s="227" t="s">
        <v>491</v>
      </c>
      <c r="D157" s="130" t="s">
        <v>2</v>
      </c>
      <c r="E157" s="170">
        <v>2</v>
      </c>
      <c r="F157" s="19">
        <f>COMPOSIÇÕES!$H$42</f>
        <v>543.38</v>
      </c>
      <c r="G157" s="163">
        <f t="shared" ref="G157" si="44">E157*F157</f>
        <v>1086.76</v>
      </c>
      <c r="H157" s="137">
        <f t="shared" si="37"/>
        <v>7.630241749898365E-3</v>
      </c>
      <c r="I157" s="515"/>
      <c r="J157" s="515"/>
      <c r="K157" s="43"/>
      <c r="L157" s="43"/>
    </row>
    <row r="158" spans="1:12" s="44" customFormat="1" ht="18" x14ac:dyDescent="0.25">
      <c r="A158" s="63" t="s">
        <v>557</v>
      </c>
      <c r="B158" s="128" t="s">
        <v>166</v>
      </c>
      <c r="C158" s="227" t="s">
        <v>492</v>
      </c>
      <c r="D158" s="130" t="s">
        <v>2</v>
      </c>
      <c r="E158" s="170">
        <v>1</v>
      </c>
      <c r="F158" s="19">
        <f>COMPOSIÇÕES!$H$49</f>
        <v>428.96000000000004</v>
      </c>
      <c r="G158" s="163">
        <f>E158*F158</f>
        <v>428.96000000000004</v>
      </c>
      <c r="H158" s="137">
        <f t="shared" si="37"/>
        <v>3.0117675485262642E-3</v>
      </c>
      <c r="I158" s="515"/>
      <c r="J158" s="515"/>
      <c r="K158" s="43"/>
      <c r="L158" s="43"/>
    </row>
    <row r="159" spans="1:12" s="44" customFormat="1" ht="18.75" thickBot="1" x14ac:dyDescent="0.3">
      <c r="A159" s="63" t="s">
        <v>558</v>
      </c>
      <c r="B159" s="128" t="s">
        <v>166</v>
      </c>
      <c r="C159" s="227" t="s">
        <v>352</v>
      </c>
      <c r="D159" s="130" t="s">
        <v>2</v>
      </c>
      <c r="E159" s="170">
        <v>1</v>
      </c>
      <c r="F159" s="19">
        <f>COMPOSIÇÕES!$H$109</f>
        <v>24.27</v>
      </c>
      <c r="G159" s="163">
        <f>E159*F159</f>
        <v>24.27</v>
      </c>
      <c r="H159" s="137">
        <f t="shared" si="37"/>
        <v>1.7040189855168879E-4</v>
      </c>
      <c r="I159" s="515"/>
      <c r="J159" s="515"/>
      <c r="K159" s="43"/>
      <c r="L159" s="43"/>
    </row>
    <row r="160" spans="1:12" s="41" customFormat="1" ht="18" customHeight="1" thickBot="1" x14ac:dyDescent="0.3">
      <c r="A160" s="40">
        <v>7</v>
      </c>
      <c r="B160" s="21"/>
      <c r="C160" s="15" t="s">
        <v>198</v>
      </c>
      <c r="D160" s="22"/>
      <c r="E160" s="168"/>
      <c r="F160" s="23"/>
      <c r="G160" s="164">
        <f>SUM(G163:G206)</f>
        <v>10651.415625000003</v>
      </c>
      <c r="H160" s="137">
        <f t="shared" si="37"/>
        <v>7.4784567151344197E-2</v>
      </c>
      <c r="I160" s="514"/>
      <c r="J160" s="514"/>
      <c r="K160" s="42"/>
      <c r="L160" s="42"/>
    </row>
    <row r="161" spans="1:12" s="44" customFormat="1" ht="18" x14ac:dyDescent="0.25">
      <c r="A161" s="45" t="s">
        <v>431</v>
      </c>
      <c r="B161" s="24"/>
      <c r="C161" s="109" t="s">
        <v>584</v>
      </c>
      <c r="D161" s="20"/>
      <c r="E161" s="170"/>
      <c r="F161" s="19"/>
      <c r="G161" s="163"/>
      <c r="H161" s="137">
        <f t="shared" ref="H161:H168" si="45">G161/$G$242</f>
        <v>0</v>
      </c>
      <c r="I161" s="515"/>
      <c r="J161" s="515"/>
      <c r="K161" s="43"/>
      <c r="L161" s="43"/>
    </row>
    <row r="162" spans="1:12" s="80" customFormat="1" ht="18" x14ac:dyDescent="0.25">
      <c r="A162" s="45" t="s">
        <v>432</v>
      </c>
      <c r="B162" s="81"/>
      <c r="C162" s="109" t="s">
        <v>187</v>
      </c>
      <c r="D162" s="20"/>
      <c r="E162" s="148"/>
      <c r="F162" s="19"/>
      <c r="G162" s="163"/>
      <c r="H162" s="137">
        <f t="shared" si="45"/>
        <v>0</v>
      </c>
      <c r="I162" s="515"/>
      <c r="J162" s="515"/>
      <c r="K162" s="534"/>
      <c r="L162" s="79"/>
    </row>
    <row r="163" spans="1:12" s="80" customFormat="1" ht="18" x14ac:dyDescent="0.25">
      <c r="A163" s="45" t="s">
        <v>433</v>
      </c>
      <c r="B163" s="104" t="s">
        <v>166</v>
      </c>
      <c r="C163" s="105" t="s">
        <v>203</v>
      </c>
      <c r="D163" s="106" t="s">
        <v>154</v>
      </c>
      <c r="E163" s="169">
        <f>1.45*25</f>
        <v>36.25</v>
      </c>
      <c r="F163" s="107">
        <f>COMPOSIÇÕES!$H$115</f>
        <v>6.1124999999999998</v>
      </c>
      <c r="G163" s="163">
        <f>E163*F163</f>
        <v>221.578125</v>
      </c>
      <c r="H163" s="137">
        <f t="shared" si="45"/>
        <v>1.5557203616614512E-3</v>
      </c>
      <c r="I163" s="515"/>
      <c r="J163" s="515"/>
      <c r="K163" s="79"/>
      <c r="L163" s="79"/>
    </row>
    <row r="164" spans="1:12" s="44" customFormat="1" ht="18" x14ac:dyDescent="0.25">
      <c r="A164" s="45" t="s">
        <v>585</v>
      </c>
      <c r="B164" s="104" t="s">
        <v>264</v>
      </c>
      <c r="C164" s="105" t="s">
        <v>263</v>
      </c>
      <c r="D164" s="106" t="s">
        <v>1</v>
      </c>
      <c r="E164" s="169">
        <f>0.3*0.3*70</f>
        <v>6.3</v>
      </c>
      <c r="F164" s="107">
        <v>3.91</v>
      </c>
      <c r="G164" s="163">
        <f>E164*F164</f>
        <v>24.632999999999999</v>
      </c>
      <c r="H164" s="137">
        <f t="shared" si="45"/>
        <v>1.7295055488354965E-4</v>
      </c>
      <c r="I164" s="515"/>
      <c r="J164" s="515"/>
      <c r="K164" s="43"/>
      <c r="L164" s="43"/>
    </row>
    <row r="165" spans="1:12" s="80" customFormat="1" ht="18" x14ac:dyDescent="0.25">
      <c r="A165" s="45" t="s">
        <v>434</v>
      </c>
      <c r="B165" s="81"/>
      <c r="C165" s="109" t="s">
        <v>198</v>
      </c>
      <c r="D165" s="20"/>
      <c r="E165" s="148"/>
      <c r="F165" s="19"/>
      <c r="G165" s="163"/>
      <c r="H165" s="137">
        <f t="shared" si="45"/>
        <v>0</v>
      </c>
      <c r="I165" s="515"/>
      <c r="J165" s="515"/>
      <c r="K165" s="79"/>
      <c r="L165" s="79"/>
    </row>
    <row r="166" spans="1:12" s="44" customFormat="1" ht="36" x14ac:dyDescent="0.25">
      <c r="A166" s="63" t="s">
        <v>435</v>
      </c>
      <c r="B166" s="104" t="s">
        <v>281</v>
      </c>
      <c r="C166" s="105" t="s">
        <v>559</v>
      </c>
      <c r="D166" s="106" t="s">
        <v>1</v>
      </c>
      <c r="E166" s="169">
        <f>E164</f>
        <v>6.3</v>
      </c>
      <c r="F166" s="19">
        <v>19.97</v>
      </c>
      <c r="G166" s="163">
        <f>E166*F166</f>
        <v>125.81099999999999</v>
      </c>
      <c r="H166" s="137">
        <f t="shared" si="45"/>
        <v>8.8333058338222164E-4</v>
      </c>
      <c r="I166" s="515"/>
      <c r="J166" s="515"/>
      <c r="K166" s="43"/>
      <c r="L166" s="43"/>
    </row>
    <row r="167" spans="1:12" s="44" customFormat="1" ht="54" x14ac:dyDescent="0.25">
      <c r="A167" s="63" t="s">
        <v>436</v>
      </c>
      <c r="B167" s="104" t="s">
        <v>284</v>
      </c>
      <c r="C167" s="105" t="s">
        <v>285</v>
      </c>
      <c r="D167" s="106" t="s">
        <v>1</v>
      </c>
      <c r="E167" s="169">
        <f>E166</f>
        <v>6.3</v>
      </c>
      <c r="F167" s="19">
        <v>130.11000000000001</v>
      </c>
      <c r="G167" s="163">
        <f>E167*F167</f>
        <v>819.6930000000001</v>
      </c>
      <c r="H167" s="137">
        <f t="shared" si="45"/>
        <v>5.7551398199229284E-3</v>
      </c>
      <c r="I167" s="515"/>
      <c r="J167" s="515"/>
      <c r="K167" s="43"/>
      <c r="L167" s="43"/>
    </row>
    <row r="168" spans="1:12" s="44" customFormat="1" ht="18" x14ac:dyDescent="0.25">
      <c r="A168" s="63" t="s">
        <v>586</v>
      </c>
      <c r="B168" s="104" t="s">
        <v>430</v>
      </c>
      <c r="C168" s="105" t="s">
        <v>265</v>
      </c>
      <c r="D168" s="106" t="s">
        <v>154</v>
      </c>
      <c r="E168" s="169">
        <v>36.25</v>
      </c>
      <c r="F168" s="107">
        <v>18.91</v>
      </c>
      <c r="G168" s="163">
        <f>E168*F168</f>
        <v>685.48749999999995</v>
      </c>
      <c r="H168" s="137">
        <f t="shared" si="45"/>
        <v>4.8128706812299452E-3</v>
      </c>
      <c r="I168" s="515"/>
      <c r="J168" s="515"/>
      <c r="K168" s="43"/>
      <c r="L168" s="43"/>
    </row>
    <row r="169" spans="1:12" s="44" customFormat="1" ht="18" x14ac:dyDescent="0.25">
      <c r="A169" s="45" t="s">
        <v>437</v>
      </c>
      <c r="B169" s="24"/>
      <c r="C169" s="109" t="s">
        <v>188</v>
      </c>
      <c r="D169" s="20"/>
      <c r="E169" s="170"/>
      <c r="F169" s="19"/>
      <c r="G169" s="163"/>
      <c r="H169" s="137">
        <f t="shared" si="37"/>
        <v>0</v>
      </c>
      <c r="I169" s="515"/>
      <c r="J169" s="515"/>
      <c r="K169" s="43"/>
      <c r="L169" s="43"/>
    </row>
    <row r="170" spans="1:12" s="80" customFormat="1" ht="18" x14ac:dyDescent="0.25">
      <c r="A170" s="45" t="s">
        <v>438</v>
      </c>
      <c r="B170" s="81"/>
      <c r="C170" s="109" t="s">
        <v>187</v>
      </c>
      <c r="D170" s="20"/>
      <c r="E170" s="148"/>
      <c r="F170" s="19"/>
      <c r="G170" s="163"/>
      <c r="H170" s="137">
        <f t="shared" si="37"/>
        <v>0</v>
      </c>
      <c r="I170" s="515"/>
      <c r="J170" s="515"/>
      <c r="K170" s="534"/>
      <c r="L170" s="79"/>
    </row>
    <row r="171" spans="1:12" s="44" customFormat="1" ht="18" x14ac:dyDescent="0.25">
      <c r="A171" s="45" t="s">
        <v>439</v>
      </c>
      <c r="B171" s="104" t="s">
        <v>264</v>
      </c>
      <c r="C171" s="105" t="s">
        <v>263</v>
      </c>
      <c r="D171" s="106" t="s">
        <v>1</v>
      </c>
      <c r="E171" s="169">
        <f>0.3*0.3*50</f>
        <v>4.5</v>
      </c>
      <c r="F171" s="107">
        <v>3.91</v>
      </c>
      <c r="G171" s="163">
        <f>E171*F171</f>
        <v>17.594999999999999</v>
      </c>
      <c r="H171" s="137">
        <f t="shared" si="37"/>
        <v>1.2353611063110689E-4</v>
      </c>
      <c r="I171" s="515"/>
      <c r="J171" s="515"/>
      <c r="K171" s="43"/>
      <c r="L171" s="43"/>
    </row>
    <row r="172" spans="1:12" s="80" customFormat="1" ht="18" x14ac:dyDescent="0.25">
      <c r="A172" s="45" t="s">
        <v>440</v>
      </c>
      <c r="B172" s="81"/>
      <c r="C172" s="109" t="s">
        <v>198</v>
      </c>
      <c r="D172" s="20"/>
      <c r="E172" s="148"/>
      <c r="F172" s="19"/>
      <c r="G172" s="163"/>
      <c r="H172" s="137">
        <f t="shared" si="37"/>
        <v>0</v>
      </c>
      <c r="I172" s="515"/>
      <c r="J172" s="515"/>
      <c r="K172" s="79"/>
      <c r="L172" s="79"/>
    </row>
    <row r="173" spans="1:12" s="44" customFormat="1" ht="36" x14ac:dyDescent="0.25">
      <c r="A173" s="63" t="s">
        <v>441</v>
      </c>
      <c r="B173" s="104" t="s">
        <v>281</v>
      </c>
      <c r="C173" s="105" t="s">
        <v>559</v>
      </c>
      <c r="D173" s="106" t="s">
        <v>1</v>
      </c>
      <c r="E173" s="169">
        <f>E171</f>
        <v>4.5</v>
      </c>
      <c r="F173" s="19">
        <v>19.97</v>
      </c>
      <c r="G173" s="163">
        <f>E173*F173</f>
        <v>89.864999999999995</v>
      </c>
      <c r="H173" s="137">
        <f t="shared" si="37"/>
        <v>6.3095041670158689E-4</v>
      </c>
      <c r="I173" s="515"/>
      <c r="J173" s="515"/>
      <c r="K173" s="43"/>
      <c r="L173" s="43"/>
    </row>
    <row r="174" spans="1:12" s="44" customFormat="1" ht="54" x14ac:dyDescent="0.25">
      <c r="A174" s="63" t="s">
        <v>442</v>
      </c>
      <c r="B174" s="104" t="s">
        <v>284</v>
      </c>
      <c r="C174" s="105" t="s">
        <v>285</v>
      </c>
      <c r="D174" s="106" t="s">
        <v>1</v>
      </c>
      <c r="E174" s="169">
        <f>E173</f>
        <v>4.5</v>
      </c>
      <c r="F174" s="19">
        <v>130.11000000000001</v>
      </c>
      <c r="G174" s="163">
        <f>E174*F174</f>
        <v>585.49500000000012</v>
      </c>
      <c r="H174" s="137">
        <f t="shared" si="37"/>
        <v>4.1108141570878063E-3</v>
      </c>
      <c r="I174" s="515"/>
      <c r="J174" s="515"/>
      <c r="K174" s="43"/>
      <c r="L174" s="43"/>
    </row>
    <row r="175" spans="1:12" s="44" customFormat="1" ht="18" x14ac:dyDescent="0.25">
      <c r="A175" s="63" t="s">
        <v>443</v>
      </c>
      <c r="B175" s="104"/>
      <c r="C175" s="109" t="s">
        <v>189</v>
      </c>
      <c r="D175" s="106"/>
      <c r="E175" s="169"/>
      <c r="F175" s="107"/>
      <c r="G175" s="163"/>
      <c r="H175" s="137">
        <f t="shared" si="37"/>
        <v>0</v>
      </c>
      <c r="I175" s="515"/>
      <c r="J175" s="515"/>
      <c r="K175" s="43"/>
      <c r="L175" s="43"/>
    </row>
    <row r="176" spans="1:12" s="80" customFormat="1" ht="18" x14ac:dyDescent="0.25">
      <c r="A176" s="45" t="s">
        <v>444</v>
      </c>
      <c r="B176" s="81"/>
      <c r="C176" s="109" t="s">
        <v>187</v>
      </c>
      <c r="D176" s="20"/>
      <c r="E176" s="148"/>
      <c r="F176" s="19"/>
      <c r="G176" s="163"/>
      <c r="H176" s="137">
        <f t="shared" si="37"/>
        <v>0</v>
      </c>
      <c r="I176" s="515"/>
      <c r="J176" s="515"/>
      <c r="K176" s="79"/>
      <c r="L176" s="79"/>
    </row>
    <row r="177" spans="1:12" s="80" customFormat="1" ht="18" x14ac:dyDescent="0.25">
      <c r="A177" s="45" t="s">
        <v>445</v>
      </c>
      <c r="B177" s="104" t="s">
        <v>166</v>
      </c>
      <c r="C177" s="105" t="s">
        <v>203</v>
      </c>
      <c r="D177" s="106" t="s">
        <v>154</v>
      </c>
      <c r="E177" s="169">
        <f>1.4*28</f>
        <v>39.199999999999996</v>
      </c>
      <c r="F177" s="107">
        <f>COMPOSIÇÕES!$H$115</f>
        <v>6.1124999999999998</v>
      </c>
      <c r="G177" s="163">
        <f>E177*F177</f>
        <v>239.60999999999996</v>
      </c>
      <c r="H177" s="137">
        <f t="shared" si="37"/>
        <v>1.6823238117828656E-3</v>
      </c>
      <c r="I177" s="515"/>
      <c r="J177" s="515"/>
      <c r="K177" s="79"/>
      <c r="L177" s="79"/>
    </row>
    <row r="178" spans="1:12" s="80" customFormat="1" ht="18" x14ac:dyDescent="0.25">
      <c r="A178" s="45" t="s">
        <v>446</v>
      </c>
      <c r="B178" s="104" t="s">
        <v>264</v>
      </c>
      <c r="C178" s="105" t="s">
        <v>263</v>
      </c>
      <c r="D178" s="106" t="s">
        <v>1</v>
      </c>
      <c r="E178" s="169">
        <f>0.3*0.3*100</f>
        <v>9</v>
      </c>
      <c r="F178" s="107">
        <v>3.91</v>
      </c>
      <c r="G178" s="163">
        <f>E178*F178</f>
        <v>35.19</v>
      </c>
      <c r="H178" s="137">
        <f t="shared" ref="H178:H197" si="46">G178/$G$242</f>
        <v>2.4707222126221377E-4</v>
      </c>
      <c r="I178" s="515"/>
      <c r="J178" s="515"/>
      <c r="K178" s="79"/>
      <c r="L178" s="79"/>
    </row>
    <row r="179" spans="1:12" s="80" customFormat="1" ht="18" x14ac:dyDescent="0.25">
      <c r="A179" s="63" t="s">
        <v>447</v>
      </c>
      <c r="B179" s="101"/>
      <c r="C179" s="109" t="s">
        <v>198</v>
      </c>
      <c r="D179" s="102"/>
      <c r="E179" s="169"/>
      <c r="F179" s="107"/>
      <c r="G179" s="163"/>
      <c r="H179" s="137">
        <f t="shared" si="46"/>
        <v>0</v>
      </c>
      <c r="I179" s="515"/>
      <c r="J179" s="515"/>
      <c r="K179" s="79"/>
      <c r="L179" s="79"/>
    </row>
    <row r="180" spans="1:12" s="44" customFormat="1" ht="36" x14ac:dyDescent="0.25">
      <c r="A180" s="63" t="s">
        <v>448</v>
      </c>
      <c r="B180" s="104" t="s">
        <v>281</v>
      </c>
      <c r="C180" s="105" t="s">
        <v>559</v>
      </c>
      <c r="D180" s="106" t="s">
        <v>1</v>
      </c>
      <c r="E180" s="169">
        <f>E178</f>
        <v>9</v>
      </c>
      <c r="F180" s="19">
        <v>19.97</v>
      </c>
      <c r="G180" s="163">
        <f>E180*F180</f>
        <v>179.73</v>
      </c>
      <c r="H180" s="137">
        <f t="shared" si="46"/>
        <v>1.2619008334031738E-3</v>
      </c>
      <c r="I180" s="515"/>
      <c r="J180" s="515"/>
      <c r="K180" s="43"/>
      <c r="L180" s="43"/>
    </row>
    <row r="181" spans="1:12" s="44" customFormat="1" ht="54" x14ac:dyDescent="0.25">
      <c r="A181" s="63" t="s">
        <v>449</v>
      </c>
      <c r="B181" s="104" t="s">
        <v>284</v>
      </c>
      <c r="C181" s="105" t="s">
        <v>285</v>
      </c>
      <c r="D181" s="106" t="s">
        <v>1</v>
      </c>
      <c r="E181" s="169">
        <f>E180</f>
        <v>9</v>
      </c>
      <c r="F181" s="19">
        <v>130.11000000000001</v>
      </c>
      <c r="G181" s="163">
        <f>E181*F181</f>
        <v>1170.9900000000002</v>
      </c>
      <c r="H181" s="137">
        <f t="shared" si="46"/>
        <v>8.2216283141756125E-3</v>
      </c>
      <c r="I181" s="515"/>
      <c r="J181" s="515"/>
      <c r="K181" s="43"/>
      <c r="L181" s="43"/>
    </row>
    <row r="182" spans="1:12" s="44" customFormat="1" ht="18" x14ac:dyDescent="0.25">
      <c r="A182" s="63" t="s">
        <v>450</v>
      </c>
      <c r="B182" s="104" t="s">
        <v>430</v>
      </c>
      <c r="C182" s="105" t="s">
        <v>265</v>
      </c>
      <c r="D182" s="106" t="s">
        <v>154</v>
      </c>
      <c r="E182" s="169">
        <v>39.200000000000003</v>
      </c>
      <c r="F182" s="107">
        <v>18.91</v>
      </c>
      <c r="G182" s="163">
        <f>E182*F182</f>
        <v>741.27200000000005</v>
      </c>
      <c r="H182" s="137">
        <f t="shared" si="46"/>
        <v>5.2045387780472793E-3</v>
      </c>
      <c r="I182" s="515"/>
      <c r="J182" s="515"/>
      <c r="K182" s="43"/>
      <c r="L182" s="43"/>
    </row>
    <row r="183" spans="1:12" s="80" customFormat="1" ht="18" x14ac:dyDescent="0.25">
      <c r="A183" s="63" t="s">
        <v>451</v>
      </c>
      <c r="B183" s="101"/>
      <c r="C183" s="109" t="s">
        <v>190</v>
      </c>
      <c r="D183" s="102"/>
      <c r="E183" s="169"/>
      <c r="F183" s="107"/>
      <c r="G183" s="163"/>
      <c r="H183" s="137">
        <f t="shared" si="46"/>
        <v>0</v>
      </c>
      <c r="I183" s="515"/>
      <c r="J183" s="515"/>
      <c r="K183" s="79"/>
      <c r="L183" s="79"/>
    </row>
    <row r="184" spans="1:12" s="80" customFormat="1" ht="18" x14ac:dyDescent="0.25">
      <c r="A184" s="45" t="s">
        <v>452</v>
      </c>
      <c r="B184" s="81"/>
      <c r="C184" s="109" t="s">
        <v>187</v>
      </c>
      <c r="D184" s="20"/>
      <c r="E184" s="148"/>
      <c r="F184" s="19"/>
      <c r="G184" s="163"/>
      <c r="H184" s="137">
        <f t="shared" si="46"/>
        <v>0</v>
      </c>
      <c r="I184" s="515"/>
      <c r="J184" s="515"/>
      <c r="K184" s="79"/>
      <c r="L184" s="79"/>
    </row>
    <row r="185" spans="1:12" s="80" customFormat="1" ht="18" x14ac:dyDescent="0.25">
      <c r="A185" s="45" t="s">
        <v>453</v>
      </c>
      <c r="B185" s="104" t="s">
        <v>166</v>
      </c>
      <c r="C185" s="105" t="s">
        <v>203</v>
      </c>
      <c r="D185" s="106" t="s">
        <v>154</v>
      </c>
      <c r="E185" s="169">
        <f>1.4*28</f>
        <v>39.199999999999996</v>
      </c>
      <c r="F185" s="107">
        <f>COMPOSIÇÕES!$H$115</f>
        <v>6.1124999999999998</v>
      </c>
      <c r="G185" s="163">
        <f>E185*F185</f>
        <v>239.60999999999996</v>
      </c>
      <c r="H185" s="137">
        <f t="shared" si="46"/>
        <v>1.6823238117828656E-3</v>
      </c>
      <c r="I185" s="79"/>
      <c r="J185" s="79"/>
      <c r="K185" s="79"/>
      <c r="L185" s="79"/>
    </row>
    <row r="186" spans="1:12" s="80" customFormat="1" ht="18" x14ac:dyDescent="0.25">
      <c r="A186" s="45" t="s">
        <v>454</v>
      </c>
      <c r="B186" s="104" t="s">
        <v>264</v>
      </c>
      <c r="C186" s="105" t="s">
        <v>263</v>
      </c>
      <c r="D186" s="106" t="s">
        <v>1</v>
      </c>
      <c r="E186" s="169">
        <f>0.3*0.3*120</f>
        <v>10.799999999999999</v>
      </c>
      <c r="F186" s="107">
        <v>3.91</v>
      </c>
      <c r="G186" s="163">
        <f>E186*F186</f>
        <v>42.227999999999994</v>
      </c>
      <c r="H186" s="137">
        <f t="shared" si="46"/>
        <v>2.9648666551465651E-4</v>
      </c>
      <c r="I186" s="79"/>
      <c r="J186" s="79"/>
      <c r="K186" s="79"/>
      <c r="L186" s="79"/>
    </row>
    <row r="187" spans="1:12" s="80" customFormat="1" ht="18" x14ac:dyDescent="0.25">
      <c r="A187" s="63" t="s">
        <v>455</v>
      </c>
      <c r="B187" s="101"/>
      <c r="C187" s="109" t="s">
        <v>198</v>
      </c>
      <c r="D187" s="102"/>
      <c r="E187" s="169"/>
      <c r="F187" s="107"/>
      <c r="G187" s="163"/>
      <c r="H187" s="137">
        <f t="shared" si="46"/>
        <v>0</v>
      </c>
      <c r="I187" s="79"/>
      <c r="J187" s="79"/>
      <c r="K187" s="79"/>
      <c r="L187" s="79"/>
    </row>
    <row r="188" spans="1:12" s="80" customFormat="1" ht="36" x14ac:dyDescent="0.25">
      <c r="A188" s="63" t="s">
        <v>456</v>
      </c>
      <c r="B188" s="104" t="s">
        <v>281</v>
      </c>
      <c r="C188" s="105" t="s">
        <v>559</v>
      </c>
      <c r="D188" s="106" t="s">
        <v>1</v>
      </c>
      <c r="E188" s="169">
        <f>E186</f>
        <v>10.799999999999999</v>
      </c>
      <c r="F188" s="19">
        <v>19.97</v>
      </c>
      <c r="G188" s="163">
        <f>E188*F188</f>
        <v>215.67599999999996</v>
      </c>
      <c r="H188" s="137">
        <f t="shared" si="46"/>
        <v>1.5142810000838083E-3</v>
      </c>
      <c r="I188" s="79"/>
      <c r="J188" s="79"/>
      <c r="K188" s="79"/>
      <c r="L188" s="79"/>
    </row>
    <row r="189" spans="1:12" s="80" customFormat="1" ht="54" x14ac:dyDescent="0.25">
      <c r="A189" s="63" t="s">
        <v>457</v>
      </c>
      <c r="B189" s="104" t="s">
        <v>284</v>
      </c>
      <c r="C189" s="105" t="s">
        <v>285</v>
      </c>
      <c r="D189" s="106" t="s">
        <v>1</v>
      </c>
      <c r="E189" s="169">
        <f>E188</f>
        <v>10.799999999999999</v>
      </c>
      <c r="F189" s="19">
        <v>130.11000000000001</v>
      </c>
      <c r="G189" s="163">
        <f>E189*F189</f>
        <v>1405.1880000000001</v>
      </c>
      <c r="H189" s="137">
        <f t="shared" si="46"/>
        <v>9.865953977010733E-3</v>
      </c>
      <c r="I189" s="79"/>
      <c r="J189" s="79"/>
      <c r="K189" s="79"/>
      <c r="L189" s="79"/>
    </row>
    <row r="190" spans="1:12" s="44" customFormat="1" ht="18" x14ac:dyDescent="0.25">
      <c r="A190" s="63" t="s">
        <v>458</v>
      </c>
      <c r="B190" s="104" t="s">
        <v>430</v>
      </c>
      <c r="C190" s="105" t="s">
        <v>265</v>
      </c>
      <c r="D190" s="106" t="s">
        <v>154</v>
      </c>
      <c r="E190" s="169">
        <v>39.200000000000003</v>
      </c>
      <c r="F190" s="107">
        <v>18.91</v>
      </c>
      <c r="G190" s="163">
        <f>E190*F190</f>
        <v>741.27200000000005</v>
      </c>
      <c r="H190" s="137">
        <f t="shared" si="46"/>
        <v>5.2045387780472793E-3</v>
      </c>
      <c r="I190" s="43"/>
      <c r="J190" s="43"/>
      <c r="K190" s="43"/>
      <c r="L190" s="43"/>
    </row>
    <row r="191" spans="1:12" s="80" customFormat="1" ht="18" x14ac:dyDescent="0.25">
      <c r="A191" s="63" t="s">
        <v>459</v>
      </c>
      <c r="B191" s="101"/>
      <c r="C191" s="109" t="s">
        <v>191</v>
      </c>
      <c r="D191" s="102"/>
      <c r="E191" s="169"/>
      <c r="F191" s="107"/>
      <c r="G191" s="163"/>
      <c r="H191" s="137">
        <f t="shared" si="46"/>
        <v>0</v>
      </c>
      <c r="I191" s="79"/>
      <c r="J191" s="79"/>
      <c r="K191" s="79"/>
      <c r="L191" s="79"/>
    </row>
    <row r="192" spans="1:12" s="80" customFormat="1" ht="18" x14ac:dyDescent="0.25">
      <c r="A192" s="45" t="s">
        <v>460</v>
      </c>
      <c r="B192" s="81"/>
      <c r="C192" s="109" t="s">
        <v>187</v>
      </c>
      <c r="D192" s="20"/>
      <c r="E192" s="148"/>
      <c r="F192" s="19"/>
      <c r="G192" s="163"/>
      <c r="H192" s="137">
        <f t="shared" si="46"/>
        <v>0</v>
      </c>
      <c r="I192" s="79"/>
      <c r="J192" s="79"/>
      <c r="K192" s="79"/>
      <c r="L192" s="79"/>
    </row>
    <row r="193" spans="1:12" s="80" customFormat="1" ht="18" x14ac:dyDescent="0.25">
      <c r="A193" s="63" t="s">
        <v>461</v>
      </c>
      <c r="B193" s="104" t="s">
        <v>166</v>
      </c>
      <c r="C193" s="105" t="s">
        <v>203</v>
      </c>
      <c r="D193" s="106" t="s">
        <v>154</v>
      </c>
      <c r="E193" s="169">
        <f>1.4*28</f>
        <v>39.199999999999996</v>
      </c>
      <c r="F193" s="107">
        <f>COMPOSIÇÕES!$H$115</f>
        <v>6.1124999999999998</v>
      </c>
      <c r="G193" s="163">
        <f>E193*F193</f>
        <v>239.60999999999996</v>
      </c>
      <c r="H193" s="137">
        <f t="shared" si="46"/>
        <v>1.6823238117828656E-3</v>
      </c>
      <c r="I193" s="79"/>
      <c r="J193" s="79"/>
      <c r="K193" s="79"/>
      <c r="L193" s="79"/>
    </row>
    <row r="194" spans="1:12" s="80" customFormat="1" ht="18" x14ac:dyDescent="0.25">
      <c r="A194" s="63" t="s">
        <v>462</v>
      </c>
      <c r="B194" s="104" t="s">
        <v>264</v>
      </c>
      <c r="C194" s="105" t="s">
        <v>263</v>
      </c>
      <c r="D194" s="106" t="s">
        <v>1</v>
      </c>
      <c r="E194" s="169">
        <f>0.3*0.3*50</f>
        <v>4.5</v>
      </c>
      <c r="F194" s="107">
        <v>3.91</v>
      </c>
      <c r="G194" s="163">
        <f>E194*F194</f>
        <v>17.594999999999999</v>
      </c>
      <c r="H194" s="137">
        <f t="shared" si="46"/>
        <v>1.2353611063110689E-4</v>
      </c>
      <c r="I194" s="79"/>
      <c r="J194" s="79"/>
      <c r="K194" s="79"/>
      <c r="L194" s="79"/>
    </row>
    <row r="195" spans="1:12" s="80" customFormat="1" ht="18" x14ac:dyDescent="0.25">
      <c r="A195" s="63" t="s">
        <v>463</v>
      </c>
      <c r="B195" s="101"/>
      <c r="C195" s="109" t="s">
        <v>198</v>
      </c>
      <c r="D195" s="102"/>
      <c r="E195" s="169"/>
      <c r="F195" s="107"/>
      <c r="G195" s="163"/>
      <c r="H195" s="137">
        <f t="shared" si="46"/>
        <v>0</v>
      </c>
      <c r="I195" s="79"/>
      <c r="J195" s="79"/>
      <c r="K195" s="79"/>
      <c r="L195" s="79"/>
    </row>
    <row r="196" spans="1:12" s="80" customFormat="1" ht="36" x14ac:dyDescent="0.25">
      <c r="A196" s="63" t="s">
        <v>464</v>
      </c>
      <c r="B196" s="104" t="s">
        <v>281</v>
      </c>
      <c r="C196" s="105" t="s">
        <v>559</v>
      </c>
      <c r="D196" s="106" t="s">
        <v>1</v>
      </c>
      <c r="E196" s="169">
        <f>E194</f>
        <v>4.5</v>
      </c>
      <c r="F196" s="19">
        <v>19.97</v>
      </c>
      <c r="G196" s="163">
        <f>E196*F196</f>
        <v>89.864999999999995</v>
      </c>
      <c r="H196" s="137">
        <f t="shared" si="46"/>
        <v>6.3095041670158689E-4</v>
      </c>
      <c r="I196" s="79"/>
      <c r="J196" s="79"/>
      <c r="K196" s="79"/>
      <c r="L196" s="79"/>
    </row>
    <row r="197" spans="1:12" s="80" customFormat="1" ht="54" x14ac:dyDescent="0.25">
      <c r="A197" s="63" t="s">
        <v>465</v>
      </c>
      <c r="B197" s="104" t="s">
        <v>284</v>
      </c>
      <c r="C197" s="105" t="s">
        <v>285</v>
      </c>
      <c r="D197" s="106" t="s">
        <v>1</v>
      </c>
      <c r="E197" s="169">
        <f>E196</f>
        <v>4.5</v>
      </c>
      <c r="F197" s="19">
        <v>130.11000000000001</v>
      </c>
      <c r="G197" s="163">
        <f>E197*F197</f>
        <v>585.49500000000012</v>
      </c>
      <c r="H197" s="137">
        <f t="shared" si="46"/>
        <v>4.1108141570878063E-3</v>
      </c>
      <c r="I197" s="79"/>
      <c r="J197" s="79"/>
      <c r="K197" s="79"/>
      <c r="L197" s="79"/>
    </row>
    <row r="198" spans="1:12" s="44" customFormat="1" ht="18" x14ac:dyDescent="0.25">
      <c r="A198" s="63" t="s">
        <v>466</v>
      </c>
      <c r="B198" s="104" t="s">
        <v>430</v>
      </c>
      <c r="C198" s="105" t="s">
        <v>265</v>
      </c>
      <c r="D198" s="106" t="s">
        <v>154</v>
      </c>
      <c r="E198" s="169">
        <v>39.200000000000003</v>
      </c>
      <c r="F198" s="107">
        <v>18.91</v>
      </c>
      <c r="G198" s="163">
        <f>E198*F198</f>
        <v>741.27200000000005</v>
      </c>
      <c r="H198" s="137">
        <f t="shared" ref="H198:H235" si="47">G198/$G$242</f>
        <v>5.2045387780472793E-3</v>
      </c>
      <c r="I198" s="43"/>
      <c r="J198" s="43"/>
      <c r="K198" s="43"/>
      <c r="L198" s="43"/>
    </row>
    <row r="199" spans="1:12" s="80" customFormat="1" ht="18" x14ac:dyDescent="0.25">
      <c r="A199" s="63" t="s">
        <v>587</v>
      </c>
      <c r="B199" s="101"/>
      <c r="C199" s="109" t="s">
        <v>192</v>
      </c>
      <c r="D199" s="102"/>
      <c r="E199" s="169"/>
      <c r="F199" s="107"/>
      <c r="G199" s="163"/>
      <c r="H199" s="137">
        <f t="shared" si="47"/>
        <v>0</v>
      </c>
      <c r="I199" s="79"/>
      <c r="J199" s="79"/>
      <c r="K199" s="79"/>
      <c r="L199" s="79"/>
    </row>
    <row r="200" spans="1:12" s="80" customFormat="1" ht="18" x14ac:dyDescent="0.25">
      <c r="A200" s="45" t="s">
        <v>588</v>
      </c>
      <c r="B200" s="81"/>
      <c r="C200" s="109" t="s">
        <v>187</v>
      </c>
      <c r="D200" s="20"/>
      <c r="E200" s="148"/>
      <c r="F200" s="19"/>
      <c r="G200" s="163"/>
      <c r="H200" s="137">
        <f t="shared" si="47"/>
        <v>0</v>
      </c>
      <c r="I200" s="79"/>
      <c r="J200" s="79"/>
      <c r="K200" s="79"/>
      <c r="L200" s="79"/>
    </row>
    <row r="201" spans="1:12" s="80" customFormat="1" ht="18" x14ac:dyDescent="0.25">
      <c r="A201" s="63" t="s">
        <v>589</v>
      </c>
      <c r="B201" s="104" t="s">
        <v>166</v>
      </c>
      <c r="C201" s="105" t="s">
        <v>203</v>
      </c>
      <c r="D201" s="106" t="s">
        <v>154</v>
      </c>
      <c r="E201" s="169">
        <f>1.4*28</f>
        <v>39.199999999999996</v>
      </c>
      <c r="F201" s="107">
        <f>COMPOSIÇÕES!$H$115</f>
        <v>6.1124999999999998</v>
      </c>
      <c r="G201" s="163">
        <f>E201*F201</f>
        <v>239.60999999999996</v>
      </c>
      <c r="H201" s="137">
        <f t="shared" si="47"/>
        <v>1.6823238117828656E-3</v>
      </c>
      <c r="I201" s="79"/>
      <c r="J201" s="79"/>
      <c r="K201" s="79"/>
      <c r="L201" s="79"/>
    </row>
    <row r="202" spans="1:12" s="80" customFormat="1" ht="18" x14ac:dyDescent="0.25">
      <c r="A202" s="63" t="s">
        <v>590</v>
      </c>
      <c r="B202" s="104" t="s">
        <v>264</v>
      </c>
      <c r="C202" s="105" t="s">
        <v>263</v>
      </c>
      <c r="D202" s="106" t="s">
        <v>1</v>
      </c>
      <c r="E202" s="169">
        <f>0.3*0.3*30</f>
        <v>2.6999999999999997</v>
      </c>
      <c r="F202" s="107">
        <v>3.91</v>
      </c>
      <c r="G202" s="163">
        <f>E202*F202</f>
        <v>10.556999999999999</v>
      </c>
      <c r="H202" s="137">
        <f t="shared" si="47"/>
        <v>7.4121666378664127E-5</v>
      </c>
      <c r="I202" s="79"/>
      <c r="J202" s="79"/>
      <c r="K202" s="79"/>
      <c r="L202" s="79"/>
    </row>
    <row r="203" spans="1:12" s="80" customFormat="1" ht="18" x14ac:dyDescent="0.25">
      <c r="A203" s="63" t="s">
        <v>591</v>
      </c>
      <c r="B203" s="101"/>
      <c r="C203" s="109" t="s">
        <v>198</v>
      </c>
      <c r="D203" s="102"/>
      <c r="E203" s="169"/>
      <c r="F203" s="107"/>
      <c r="G203" s="163"/>
      <c r="H203" s="137">
        <f t="shared" si="47"/>
        <v>0</v>
      </c>
      <c r="I203" s="79"/>
      <c r="J203" s="79"/>
      <c r="K203" s="79"/>
      <c r="L203" s="79"/>
    </row>
    <row r="204" spans="1:12" s="80" customFormat="1" ht="36" x14ac:dyDescent="0.25">
      <c r="A204" s="63" t="s">
        <v>592</v>
      </c>
      <c r="B204" s="104" t="s">
        <v>281</v>
      </c>
      <c r="C204" s="105" t="s">
        <v>559</v>
      </c>
      <c r="D204" s="106" t="s">
        <v>1</v>
      </c>
      <c r="E204" s="169">
        <f>E202</f>
        <v>2.6999999999999997</v>
      </c>
      <c r="F204" s="19">
        <v>19.97</v>
      </c>
      <c r="G204" s="163">
        <f>E204*F204</f>
        <v>53.91899999999999</v>
      </c>
      <c r="H204" s="137">
        <f t="shared" si="47"/>
        <v>3.7857025002095208E-4</v>
      </c>
      <c r="I204" s="79"/>
      <c r="J204" s="79"/>
      <c r="K204" s="79"/>
      <c r="L204" s="79"/>
    </row>
    <row r="205" spans="1:12" s="80" customFormat="1" ht="54" x14ac:dyDescent="0.25">
      <c r="A205" s="63" t="s">
        <v>593</v>
      </c>
      <c r="B205" s="104" t="s">
        <v>284</v>
      </c>
      <c r="C205" s="105" t="s">
        <v>285</v>
      </c>
      <c r="D205" s="106" t="s">
        <v>1</v>
      </c>
      <c r="E205" s="169">
        <f>E204</f>
        <v>2.6999999999999997</v>
      </c>
      <c r="F205" s="19">
        <v>130.11000000000001</v>
      </c>
      <c r="G205" s="163">
        <f>E205*F205</f>
        <v>351.29700000000003</v>
      </c>
      <c r="H205" s="137">
        <f t="shared" si="47"/>
        <v>2.4664884942526832E-3</v>
      </c>
      <c r="I205" s="79"/>
      <c r="J205" s="79"/>
      <c r="K205" s="79"/>
      <c r="L205" s="79"/>
    </row>
    <row r="206" spans="1:12" s="44" customFormat="1" ht="18.75" thickBot="1" x14ac:dyDescent="0.3">
      <c r="A206" s="63" t="s">
        <v>594</v>
      </c>
      <c r="B206" s="104" t="s">
        <v>430</v>
      </c>
      <c r="C206" s="105" t="s">
        <v>265</v>
      </c>
      <c r="D206" s="106" t="s">
        <v>154</v>
      </c>
      <c r="E206" s="169">
        <v>39.200000000000003</v>
      </c>
      <c r="F206" s="107">
        <v>18.91</v>
      </c>
      <c r="G206" s="163">
        <f>E206*F206</f>
        <v>741.27200000000005</v>
      </c>
      <c r="H206" s="137">
        <f t="shared" si="47"/>
        <v>5.2045387780472793E-3</v>
      </c>
      <c r="I206" s="43"/>
      <c r="J206" s="43"/>
      <c r="K206" s="43"/>
      <c r="L206" s="43"/>
    </row>
    <row r="207" spans="1:12" s="41" customFormat="1" ht="18" customHeight="1" thickBot="1" x14ac:dyDescent="0.3">
      <c r="A207" s="40">
        <v>8</v>
      </c>
      <c r="B207" s="21"/>
      <c r="C207" s="15" t="s">
        <v>201</v>
      </c>
      <c r="D207" s="22"/>
      <c r="E207" s="168"/>
      <c r="F207" s="23"/>
      <c r="G207" s="164">
        <f>SUM(G208:G231)</f>
        <v>39783.605799999998</v>
      </c>
      <c r="H207" s="137">
        <f t="shared" si="47"/>
        <v>0.27932434938409467</v>
      </c>
      <c r="I207" s="42"/>
      <c r="J207" s="42"/>
      <c r="K207" s="42"/>
      <c r="L207" s="42"/>
    </row>
    <row r="208" spans="1:12" s="44" customFormat="1" ht="18" x14ac:dyDescent="0.25">
      <c r="A208" s="45"/>
      <c r="B208" s="24"/>
      <c r="C208" s="109" t="s">
        <v>188</v>
      </c>
      <c r="D208" s="20"/>
      <c r="E208" s="170"/>
      <c r="F208" s="76"/>
      <c r="G208" s="163"/>
      <c r="H208" s="137">
        <f t="shared" si="47"/>
        <v>0</v>
      </c>
      <c r="I208" s="43"/>
      <c r="J208" s="43"/>
      <c r="K208" s="43"/>
      <c r="L208" s="43"/>
    </row>
    <row r="209" spans="1:12" s="44" customFormat="1" ht="36" x14ac:dyDescent="0.25">
      <c r="A209" s="63" t="s">
        <v>467</v>
      </c>
      <c r="B209" s="104" t="s">
        <v>258</v>
      </c>
      <c r="C209" s="105" t="s">
        <v>256</v>
      </c>
      <c r="D209" s="106" t="s">
        <v>1</v>
      </c>
      <c r="E209" s="169">
        <f>2*0.53</f>
        <v>1.06</v>
      </c>
      <c r="F209" s="107">
        <v>25.95</v>
      </c>
      <c r="G209" s="163">
        <f t="shared" ref="G209" si="48">E209*F209</f>
        <v>27.507000000000001</v>
      </c>
      <c r="H209" s="137">
        <f t="shared" si="47"/>
        <v>1.931291727837373E-4</v>
      </c>
      <c r="I209" s="43"/>
      <c r="J209" s="43"/>
      <c r="K209" s="43"/>
      <c r="L209" s="43"/>
    </row>
    <row r="210" spans="1:12" s="44" customFormat="1" ht="18" x14ac:dyDescent="0.25">
      <c r="A210" s="63" t="s">
        <v>468</v>
      </c>
      <c r="B210" s="104" t="s">
        <v>259</v>
      </c>
      <c r="C210" s="105" t="s">
        <v>260</v>
      </c>
      <c r="D210" s="106" t="s">
        <v>1</v>
      </c>
      <c r="E210" s="169">
        <f>E209</f>
        <v>1.06</v>
      </c>
      <c r="F210" s="107">
        <v>12.78</v>
      </c>
      <c r="G210" s="163">
        <f t="shared" ref="G210" si="49">E210*F210</f>
        <v>13.546799999999999</v>
      </c>
      <c r="H210" s="137">
        <f t="shared" si="47"/>
        <v>9.5113326711990844E-5</v>
      </c>
      <c r="I210" s="43"/>
      <c r="J210" s="43"/>
      <c r="K210" s="43"/>
      <c r="L210" s="43"/>
    </row>
    <row r="211" spans="1:12" s="44" customFormat="1" ht="72" customHeight="1" x14ac:dyDescent="0.25">
      <c r="A211" s="63" t="s">
        <v>469</v>
      </c>
      <c r="B211" s="104" t="s">
        <v>572</v>
      </c>
      <c r="C211" s="105" t="s">
        <v>206</v>
      </c>
      <c r="D211" s="106" t="s">
        <v>2</v>
      </c>
      <c r="E211" s="169">
        <v>1</v>
      </c>
      <c r="F211" s="19">
        <v>901</v>
      </c>
      <c r="G211" s="163">
        <f t="shared" ref="G211" si="50">E211*F211</f>
        <v>901</v>
      </c>
      <c r="H211" s="137">
        <f t="shared" si="47"/>
        <v>6.3260037328006433E-3</v>
      </c>
      <c r="I211" s="543"/>
      <c r="J211" s="544"/>
      <c r="K211" s="545"/>
      <c r="L211" s="43"/>
    </row>
    <row r="212" spans="1:12" s="44" customFormat="1" ht="18" x14ac:dyDescent="0.25">
      <c r="A212" s="63"/>
      <c r="B212" s="104"/>
      <c r="C212" s="109" t="s">
        <v>189</v>
      </c>
      <c r="D212" s="106"/>
      <c r="E212" s="169"/>
      <c r="F212" s="103"/>
      <c r="G212" s="163"/>
      <c r="H212" s="137">
        <f t="shared" si="47"/>
        <v>0</v>
      </c>
      <c r="I212" s="43"/>
      <c r="J212" s="43"/>
      <c r="K212" s="43"/>
      <c r="L212" s="43"/>
    </row>
    <row r="213" spans="1:12" s="44" customFormat="1" ht="36" x14ac:dyDescent="0.25">
      <c r="A213" s="63" t="s">
        <v>470</v>
      </c>
      <c r="B213" s="104" t="s">
        <v>258</v>
      </c>
      <c r="C213" s="105" t="s">
        <v>261</v>
      </c>
      <c r="D213" s="106" t="s">
        <v>1</v>
      </c>
      <c r="E213" s="169">
        <f>4*2.9</f>
        <v>11.6</v>
      </c>
      <c r="F213" s="107">
        <v>25.95</v>
      </c>
      <c r="G213" s="163">
        <f t="shared" ref="G213:G216" si="51">E213*F213</f>
        <v>301.02</v>
      </c>
      <c r="H213" s="137">
        <f t="shared" si="47"/>
        <v>2.1134890606522194E-3</v>
      </c>
      <c r="I213" s="43"/>
      <c r="J213" s="43"/>
      <c r="K213" s="43"/>
      <c r="L213" s="43"/>
    </row>
    <row r="214" spans="1:12" s="44" customFormat="1" ht="18" x14ac:dyDescent="0.25">
      <c r="A214" s="63" t="s">
        <v>471</v>
      </c>
      <c r="B214" s="104" t="s">
        <v>259</v>
      </c>
      <c r="C214" s="105" t="s">
        <v>262</v>
      </c>
      <c r="D214" s="106" t="s">
        <v>1</v>
      </c>
      <c r="E214" s="169">
        <f>E213</f>
        <v>11.6</v>
      </c>
      <c r="F214" s="107">
        <v>12.78</v>
      </c>
      <c r="G214" s="163">
        <f t="shared" si="51"/>
        <v>148.24799999999999</v>
      </c>
      <c r="H214" s="137">
        <f t="shared" si="47"/>
        <v>1.0408628206217865E-3</v>
      </c>
      <c r="I214" s="43"/>
      <c r="J214" s="43"/>
      <c r="K214" s="43"/>
      <c r="L214" s="43"/>
    </row>
    <row r="215" spans="1:12" s="44" customFormat="1" ht="81.75" customHeight="1" x14ac:dyDescent="0.25">
      <c r="A215" s="63" t="s">
        <v>472</v>
      </c>
      <c r="B215" s="104" t="s">
        <v>572</v>
      </c>
      <c r="C215" s="105" t="s">
        <v>205</v>
      </c>
      <c r="D215" s="106" t="s">
        <v>2</v>
      </c>
      <c r="E215" s="169">
        <v>1</v>
      </c>
      <c r="F215" s="19">
        <v>8850</v>
      </c>
      <c r="G215" s="163">
        <f t="shared" si="51"/>
        <v>8850</v>
      </c>
      <c r="H215" s="137">
        <f t="shared" si="47"/>
        <v>6.213666263627713E-2</v>
      </c>
      <c r="I215" s="43"/>
      <c r="J215" s="43"/>
      <c r="K215" s="43"/>
      <c r="L215" s="43"/>
    </row>
    <row r="216" spans="1:12" s="44" customFormat="1" ht="18" x14ac:dyDescent="0.25">
      <c r="A216" s="63" t="s">
        <v>473</v>
      </c>
      <c r="B216" s="104" t="s">
        <v>328</v>
      </c>
      <c r="C216" s="105" t="s">
        <v>327</v>
      </c>
      <c r="D216" s="106" t="s">
        <v>154</v>
      </c>
      <c r="E216" s="169">
        <v>4</v>
      </c>
      <c r="F216" s="19">
        <v>102.78</v>
      </c>
      <c r="G216" s="163">
        <f t="shared" si="51"/>
        <v>411.12</v>
      </c>
      <c r="H216" s="137">
        <f t="shared" si="47"/>
        <v>2.8865112703984467E-3</v>
      </c>
      <c r="I216" s="43"/>
      <c r="J216" s="43"/>
      <c r="K216" s="43"/>
      <c r="L216" s="43"/>
    </row>
    <row r="217" spans="1:12" s="44" customFormat="1" ht="18" x14ac:dyDescent="0.25">
      <c r="A217" s="63"/>
      <c r="B217" s="104"/>
      <c r="C217" s="109" t="s">
        <v>190</v>
      </c>
      <c r="D217" s="106"/>
      <c r="E217" s="169"/>
      <c r="F217" s="103"/>
      <c r="G217" s="163"/>
      <c r="H217" s="137">
        <f t="shared" si="47"/>
        <v>0</v>
      </c>
      <c r="I217" s="43"/>
      <c r="J217" s="43"/>
      <c r="K217" s="43"/>
      <c r="L217" s="43"/>
    </row>
    <row r="218" spans="1:12" s="44" customFormat="1" ht="36" x14ac:dyDescent="0.25">
      <c r="A218" s="63" t="s">
        <v>474</v>
      </c>
      <c r="B218" s="104" t="s">
        <v>258</v>
      </c>
      <c r="C218" s="105" t="s">
        <v>261</v>
      </c>
      <c r="D218" s="106" t="s">
        <v>1</v>
      </c>
      <c r="E218" s="169">
        <f>4*2.9</f>
        <v>11.6</v>
      </c>
      <c r="F218" s="107">
        <v>25.95</v>
      </c>
      <c r="G218" s="163">
        <f t="shared" ref="G218:G221" si="52">E218*F218</f>
        <v>301.02</v>
      </c>
      <c r="H218" s="137">
        <f t="shared" si="47"/>
        <v>2.1134890606522194E-3</v>
      </c>
      <c r="I218" s="43"/>
      <c r="J218" s="43"/>
      <c r="K218" s="43"/>
      <c r="L218" s="43"/>
    </row>
    <row r="219" spans="1:12" s="44" customFormat="1" ht="18" x14ac:dyDescent="0.25">
      <c r="A219" s="63" t="s">
        <v>475</v>
      </c>
      <c r="B219" s="104" t="s">
        <v>259</v>
      </c>
      <c r="C219" s="105" t="s">
        <v>262</v>
      </c>
      <c r="D219" s="106" t="s">
        <v>1</v>
      </c>
      <c r="E219" s="169">
        <f>E218</f>
        <v>11.6</v>
      </c>
      <c r="F219" s="107">
        <v>12.78</v>
      </c>
      <c r="G219" s="163">
        <f t="shared" si="52"/>
        <v>148.24799999999999</v>
      </c>
      <c r="H219" s="137">
        <f t="shared" si="47"/>
        <v>1.0408628206217865E-3</v>
      </c>
      <c r="I219" s="43"/>
      <c r="J219" s="43"/>
      <c r="K219" s="43"/>
      <c r="L219" s="43"/>
    </row>
    <row r="220" spans="1:12" s="44" customFormat="1" ht="66" customHeight="1" x14ac:dyDescent="0.25">
      <c r="A220" s="63" t="s">
        <v>476</v>
      </c>
      <c r="B220" s="104" t="s">
        <v>572</v>
      </c>
      <c r="C220" s="105" t="s">
        <v>205</v>
      </c>
      <c r="D220" s="106" t="s">
        <v>2</v>
      </c>
      <c r="E220" s="169">
        <v>1</v>
      </c>
      <c r="F220" s="19">
        <v>8850</v>
      </c>
      <c r="G220" s="163">
        <f t="shared" si="52"/>
        <v>8850</v>
      </c>
      <c r="H220" s="137">
        <f t="shared" si="47"/>
        <v>6.213666263627713E-2</v>
      </c>
      <c r="I220" s="43"/>
      <c r="J220" s="43"/>
      <c r="K220" s="43"/>
      <c r="L220" s="43"/>
    </row>
    <row r="221" spans="1:12" s="44" customFormat="1" ht="18" x14ac:dyDescent="0.25">
      <c r="A221" s="63" t="s">
        <v>477</v>
      </c>
      <c r="B221" s="104" t="s">
        <v>328</v>
      </c>
      <c r="C221" s="105" t="s">
        <v>327</v>
      </c>
      <c r="D221" s="106" t="s">
        <v>154</v>
      </c>
      <c r="E221" s="169">
        <v>4</v>
      </c>
      <c r="F221" s="19">
        <v>102.78</v>
      </c>
      <c r="G221" s="163">
        <f t="shared" si="52"/>
        <v>411.12</v>
      </c>
      <c r="H221" s="137">
        <f t="shared" si="47"/>
        <v>2.8865112703984467E-3</v>
      </c>
      <c r="I221" s="43"/>
      <c r="J221" s="43"/>
      <c r="K221" s="43"/>
      <c r="L221" s="43"/>
    </row>
    <row r="222" spans="1:12" s="44" customFormat="1" ht="18" x14ac:dyDescent="0.25">
      <c r="A222" s="63"/>
      <c r="B222" s="104"/>
      <c r="C222" s="109" t="s">
        <v>191</v>
      </c>
      <c r="D222" s="106"/>
      <c r="E222" s="169"/>
      <c r="F222" s="103"/>
      <c r="G222" s="163"/>
      <c r="H222" s="137">
        <f t="shared" si="47"/>
        <v>0</v>
      </c>
      <c r="I222" s="43"/>
      <c r="J222" s="43"/>
      <c r="K222" s="43"/>
      <c r="L222" s="43"/>
    </row>
    <row r="223" spans="1:12" s="44" customFormat="1" ht="36" x14ac:dyDescent="0.25">
      <c r="A223" s="63" t="s">
        <v>478</v>
      </c>
      <c r="B223" s="104" t="s">
        <v>258</v>
      </c>
      <c r="C223" s="105" t="s">
        <v>261</v>
      </c>
      <c r="D223" s="106" t="s">
        <v>1</v>
      </c>
      <c r="E223" s="169">
        <f>4*2.9</f>
        <v>11.6</v>
      </c>
      <c r="F223" s="107">
        <v>25.95</v>
      </c>
      <c r="G223" s="163">
        <f t="shared" ref="G223:G226" si="53">E223*F223</f>
        <v>301.02</v>
      </c>
      <c r="H223" s="137">
        <f t="shared" si="47"/>
        <v>2.1134890606522194E-3</v>
      </c>
      <c r="I223" s="43"/>
      <c r="J223" s="43"/>
      <c r="K223" s="43"/>
      <c r="L223" s="43"/>
    </row>
    <row r="224" spans="1:12" s="44" customFormat="1" ht="18" x14ac:dyDescent="0.25">
      <c r="A224" s="63" t="s">
        <v>479</v>
      </c>
      <c r="B224" s="104" t="s">
        <v>259</v>
      </c>
      <c r="C224" s="105" t="s">
        <v>262</v>
      </c>
      <c r="D224" s="106" t="s">
        <v>1</v>
      </c>
      <c r="E224" s="169">
        <f>E223</f>
        <v>11.6</v>
      </c>
      <c r="F224" s="107">
        <v>12.78</v>
      </c>
      <c r="G224" s="163">
        <f t="shared" si="53"/>
        <v>148.24799999999999</v>
      </c>
      <c r="H224" s="137">
        <f t="shared" si="47"/>
        <v>1.0408628206217865E-3</v>
      </c>
      <c r="I224" s="43"/>
      <c r="J224" s="43"/>
      <c r="K224" s="43"/>
      <c r="L224" s="43"/>
    </row>
    <row r="225" spans="1:12" s="44" customFormat="1" ht="74.25" customHeight="1" x14ac:dyDescent="0.25">
      <c r="A225" s="63" t="s">
        <v>480</v>
      </c>
      <c r="B225" s="104" t="s">
        <v>572</v>
      </c>
      <c r="C225" s="105" t="s">
        <v>205</v>
      </c>
      <c r="D225" s="106" t="s">
        <v>2</v>
      </c>
      <c r="E225" s="169">
        <v>1</v>
      </c>
      <c r="F225" s="19">
        <v>8850</v>
      </c>
      <c r="G225" s="163">
        <f t="shared" si="53"/>
        <v>8850</v>
      </c>
      <c r="H225" s="137">
        <f t="shared" si="47"/>
        <v>6.213666263627713E-2</v>
      </c>
      <c r="I225" s="43"/>
      <c r="J225" s="43"/>
      <c r="K225" s="43"/>
      <c r="L225" s="43"/>
    </row>
    <row r="226" spans="1:12" s="44" customFormat="1" ht="18" x14ac:dyDescent="0.25">
      <c r="A226" s="63" t="s">
        <v>481</v>
      </c>
      <c r="B226" s="104" t="s">
        <v>328</v>
      </c>
      <c r="C226" s="105" t="s">
        <v>327</v>
      </c>
      <c r="D226" s="106" t="s">
        <v>154</v>
      </c>
      <c r="E226" s="169">
        <v>4</v>
      </c>
      <c r="F226" s="19">
        <v>102.78</v>
      </c>
      <c r="G226" s="163">
        <f t="shared" si="53"/>
        <v>411.12</v>
      </c>
      <c r="H226" s="137">
        <f t="shared" si="47"/>
        <v>2.8865112703984467E-3</v>
      </c>
      <c r="I226" s="43"/>
      <c r="J226" s="43"/>
      <c r="K226" s="43"/>
      <c r="L226" s="43"/>
    </row>
    <row r="227" spans="1:12" s="44" customFormat="1" ht="18" x14ac:dyDescent="0.25">
      <c r="A227" s="63"/>
      <c r="B227" s="104"/>
      <c r="C227" s="109" t="s">
        <v>192</v>
      </c>
      <c r="D227" s="106"/>
      <c r="E227" s="169"/>
      <c r="F227" s="107"/>
      <c r="G227" s="163"/>
      <c r="H227" s="137">
        <f t="shared" si="47"/>
        <v>0</v>
      </c>
      <c r="I227" s="43"/>
      <c r="J227" s="43"/>
      <c r="K227" s="43"/>
      <c r="L227" s="43"/>
    </row>
    <row r="228" spans="1:12" s="44" customFormat="1" ht="36" x14ac:dyDescent="0.25">
      <c r="A228" s="63" t="s">
        <v>482</v>
      </c>
      <c r="B228" s="104" t="s">
        <v>258</v>
      </c>
      <c r="C228" s="105" t="s">
        <v>261</v>
      </c>
      <c r="D228" s="106" t="s">
        <v>1</v>
      </c>
      <c r="E228" s="169">
        <f>4*2.9</f>
        <v>11.6</v>
      </c>
      <c r="F228" s="107">
        <v>25.95</v>
      </c>
      <c r="G228" s="163">
        <f t="shared" ref="G228:G231" si="54">E228*F228</f>
        <v>301.02</v>
      </c>
      <c r="H228" s="137">
        <f t="shared" si="47"/>
        <v>2.1134890606522194E-3</v>
      </c>
      <c r="I228" s="43"/>
      <c r="J228" s="43"/>
      <c r="K228" s="43"/>
      <c r="L228" s="43"/>
    </row>
    <row r="229" spans="1:12" s="44" customFormat="1" ht="18" x14ac:dyDescent="0.25">
      <c r="A229" s="63" t="s">
        <v>483</v>
      </c>
      <c r="B229" s="104" t="s">
        <v>259</v>
      </c>
      <c r="C229" s="105" t="s">
        <v>262</v>
      </c>
      <c r="D229" s="106" t="s">
        <v>1</v>
      </c>
      <c r="E229" s="169">
        <f>E228</f>
        <v>11.6</v>
      </c>
      <c r="F229" s="107">
        <v>12.78</v>
      </c>
      <c r="G229" s="163">
        <f t="shared" si="54"/>
        <v>148.24799999999999</v>
      </c>
      <c r="H229" s="137">
        <f t="shared" si="47"/>
        <v>1.0408628206217865E-3</v>
      </c>
      <c r="I229" s="43"/>
      <c r="J229" s="43"/>
      <c r="K229" s="43"/>
      <c r="L229" s="43"/>
    </row>
    <row r="230" spans="1:12" s="44" customFormat="1" ht="69" customHeight="1" x14ac:dyDescent="0.25">
      <c r="A230" s="63" t="s">
        <v>484</v>
      </c>
      <c r="B230" s="104" t="s">
        <v>572</v>
      </c>
      <c r="C230" s="105" t="s">
        <v>205</v>
      </c>
      <c r="D230" s="106" t="s">
        <v>2</v>
      </c>
      <c r="E230" s="169">
        <v>1</v>
      </c>
      <c r="F230" s="19">
        <v>8850</v>
      </c>
      <c r="G230" s="163">
        <f t="shared" si="54"/>
        <v>8850</v>
      </c>
      <c r="H230" s="137">
        <f t="shared" si="47"/>
        <v>6.213666263627713E-2</v>
      </c>
      <c r="I230" s="43"/>
      <c r="J230" s="43"/>
      <c r="K230" s="43"/>
      <c r="L230" s="43"/>
    </row>
    <row r="231" spans="1:12" s="44" customFormat="1" ht="18.75" thickBot="1" x14ac:dyDescent="0.3">
      <c r="A231" s="63" t="s">
        <v>485</v>
      </c>
      <c r="B231" s="104" t="s">
        <v>328</v>
      </c>
      <c r="C231" s="105" t="s">
        <v>327</v>
      </c>
      <c r="D231" s="106" t="s">
        <v>154</v>
      </c>
      <c r="E231" s="169">
        <v>4</v>
      </c>
      <c r="F231" s="19">
        <v>102.78</v>
      </c>
      <c r="G231" s="163">
        <f t="shared" si="54"/>
        <v>411.12</v>
      </c>
      <c r="H231" s="137">
        <f t="shared" si="47"/>
        <v>2.8865112703984467E-3</v>
      </c>
      <c r="I231" s="43"/>
      <c r="J231" s="43"/>
      <c r="K231" s="43"/>
      <c r="L231" s="43"/>
    </row>
    <row r="232" spans="1:12" s="75" customFormat="1" ht="18.75" thickBot="1" x14ac:dyDescent="0.3">
      <c r="A232" s="40">
        <v>9</v>
      </c>
      <c r="B232" s="78"/>
      <c r="C232" s="119" t="s">
        <v>207</v>
      </c>
      <c r="D232" s="82"/>
      <c r="E232" s="171"/>
      <c r="F232" s="65"/>
      <c r="G232" s="164">
        <f>SUM(G233:G239)</f>
        <v>3340.5701999999997</v>
      </c>
      <c r="H232" s="137">
        <f t="shared" si="47"/>
        <v>2.3454450116406868E-2</v>
      </c>
      <c r="I232" s="77"/>
      <c r="J232" s="77"/>
      <c r="K232" s="77"/>
      <c r="L232" s="77"/>
    </row>
    <row r="233" spans="1:12" s="84" customFormat="1" ht="18" x14ac:dyDescent="0.25">
      <c r="A233" s="45" t="s">
        <v>245</v>
      </c>
      <c r="B233" s="120" t="s">
        <v>208</v>
      </c>
      <c r="C233" s="121" t="s">
        <v>209</v>
      </c>
      <c r="D233" s="122" t="s">
        <v>1</v>
      </c>
      <c r="E233" s="170">
        <f>E11</f>
        <v>7.48</v>
      </c>
      <c r="F233" s="19">
        <v>11.72</v>
      </c>
      <c r="G233" s="163">
        <f t="shared" ref="G233:G239" si="55">E233*F233</f>
        <v>87.665600000000012</v>
      </c>
      <c r="H233" s="137">
        <f t="shared" si="47"/>
        <v>6.155082273454031E-4</v>
      </c>
      <c r="I233" s="83"/>
      <c r="J233" s="83"/>
      <c r="K233" s="83"/>
      <c r="L233" s="83"/>
    </row>
    <row r="234" spans="1:12" s="84" customFormat="1" ht="18" x14ac:dyDescent="0.25">
      <c r="A234" s="45" t="s">
        <v>246</v>
      </c>
      <c r="B234" s="123">
        <v>88316</v>
      </c>
      <c r="C234" s="124" t="s">
        <v>160</v>
      </c>
      <c r="D234" s="125" t="s">
        <v>156</v>
      </c>
      <c r="E234" s="170">
        <f>2*8</f>
        <v>16</v>
      </c>
      <c r="F234" s="19">
        <v>17</v>
      </c>
      <c r="G234" s="163">
        <f t="shared" si="55"/>
        <v>272</v>
      </c>
      <c r="H234" s="137">
        <f t="shared" si="47"/>
        <v>1.9097369759398168E-3</v>
      </c>
      <c r="I234" s="83"/>
      <c r="J234" s="83"/>
      <c r="K234" s="83"/>
      <c r="L234" s="83"/>
    </row>
    <row r="235" spans="1:12" s="84" customFormat="1" ht="54" x14ac:dyDescent="0.25">
      <c r="A235" s="45" t="s">
        <v>247</v>
      </c>
      <c r="B235" s="123">
        <v>5824</v>
      </c>
      <c r="C235" s="124" t="s">
        <v>210</v>
      </c>
      <c r="D235" s="126" t="s">
        <v>156</v>
      </c>
      <c r="E235" s="170">
        <f>8*2</f>
        <v>16</v>
      </c>
      <c r="F235" s="19">
        <v>125.47</v>
      </c>
      <c r="G235" s="163">
        <f t="shared" si="55"/>
        <v>2007.52</v>
      </c>
      <c r="H235" s="137">
        <f t="shared" si="47"/>
        <v>1.4094982257127577E-2</v>
      </c>
      <c r="I235" s="83"/>
      <c r="J235" s="83"/>
      <c r="K235" s="83"/>
      <c r="L235" s="83"/>
    </row>
    <row r="236" spans="1:12" s="84" customFormat="1" ht="18" x14ac:dyDescent="0.25">
      <c r="A236" s="45" t="s">
        <v>248</v>
      </c>
      <c r="B236" s="165" t="s">
        <v>166</v>
      </c>
      <c r="C236" s="131" t="s">
        <v>252</v>
      </c>
      <c r="D236" s="20" t="s">
        <v>159</v>
      </c>
      <c r="E236" s="170">
        <v>10</v>
      </c>
      <c r="F236" s="19">
        <f>COMPOSIÇÕES!$H$26</f>
        <v>29.489899999999999</v>
      </c>
      <c r="G236" s="163">
        <f t="shared" ref="G236" si="56">E236*F236</f>
        <v>294.899</v>
      </c>
      <c r="H236" s="137">
        <f t="shared" ref="H236" si="57">G236/$G$242</f>
        <v>2.0705129576017501E-3</v>
      </c>
      <c r="I236" s="83"/>
      <c r="J236" s="83"/>
      <c r="K236" s="83"/>
      <c r="L236" s="83"/>
    </row>
    <row r="237" spans="1:12" s="84" customFormat="1" ht="18" x14ac:dyDescent="0.25">
      <c r="A237" s="45" t="s">
        <v>249</v>
      </c>
      <c r="B237" s="165" t="s">
        <v>166</v>
      </c>
      <c r="C237" s="127" t="s">
        <v>211</v>
      </c>
      <c r="D237" s="126" t="s">
        <v>159</v>
      </c>
      <c r="E237" s="170">
        <f>E236</f>
        <v>10</v>
      </c>
      <c r="F237" s="19">
        <f>COMPOSIÇÕES!$H$33</f>
        <v>22.657499999999999</v>
      </c>
      <c r="G237" s="163">
        <f t="shared" si="55"/>
        <v>226.57499999999999</v>
      </c>
      <c r="H237" s="137">
        <f>G237/$G$242</f>
        <v>1.590803879866044E-3</v>
      </c>
      <c r="I237" s="83"/>
      <c r="J237" s="83"/>
      <c r="K237" s="83"/>
      <c r="L237" s="83"/>
    </row>
    <row r="238" spans="1:12" s="84" customFormat="1" ht="36" x14ac:dyDescent="0.25">
      <c r="A238" s="45" t="s">
        <v>486</v>
      </c>
      <c r="B238" s="128">
        <v>97914</v>
      </c>
      <c r="C238" s="129" t="s">
        <v>212</v>
      </c>
      <c r="D238" s="130" t="s">
        <v>213</v>
      </c>
      <c r="E238" s="170">
        <f>E237*20</f>
        <v>200</v>
      </c>
      <c r="F238" s="19">
        <v>1.87</v>
      </c>
      <c r="G238" s="163">
        <f>E238*F238</f>
        <v>374</v>
      </c>
      <c r="H238" s="137">
        <f>G238/$G$242</f>
        <v>2.6258883419172483E-3</v>
      </c>
      <c r="I238" s="83"/>
      <c r="J238" s="83"/>
      <c r="K238" s="83"/>
      <c r="L238" s="83"/>
    </row>
    <row r="239" spans="1:12" s="84" customFormat="1" ht="18.75" thickBot="1" x14ac:dyDescent="0.3">
      <c r="A239" s="45" t="s">
        <v>487</v>
      </c>
      <c r="B239" s="150" t="s">
        <v>214</v>
      </c>
      <c r="C239" s="131" t="s">
        <v>215</v>
      </c>
      <c r="D239" s="126" t="s">
        <v>1</v>
      </c>
      <c r="E239" s="170">
        <f>+E148+E174+E181+E189+E197+E205+E80+E211+E215+E220+E225+E230+E216*0.18+E221*0.18+E226*0.18+E231*0.18</f>
        <v>43.769999999999996</v>
      </c>
      <c r="F239" s="19">
        <v>1.78</v>
      </c>
      <c r="G239" s="163">
        <f t="shared" si="55"/>
        <v>77.910599999999988</v>
      </c>
      <c r="H239" s="137">
        <f>G239/$G$242</f>
        <v>5.4701747660903187E-4</v>
      </c>
      <c r="I239" s="83"/>
      <c r="J239" s="83"/>
      <c r="K239" s="83"/>
      <c r="L239" s="83"/>
    </row>
    <row r="240" spans="1:12" s="87" customFormat="1" ht="18.75" thickBot="1" x14ac:dyDescent="0.3">
      <c r="A240" s="152"/>
      <c r="B240" s="85"/>
      <c r="C240" s="85"/>
      <c r="D240" s="86"/>
      <c r="E240" s="214"/>
      <c r="F240" s="214" t="s">
        <v>155</v>
      </c>
      <c r="G240" s="211">
        <f>G10+G14+G21+G53+G94+G121+G160+G207+G232</f>
        <v>113942.39245585901</v>
      </c>
      <c r="H240" s="215"/>
    </row>
    <row r="241" spans="1:10" s="72" customFormat="1" ht="18.75" thickBot="1" x14ac:dyDescent="0.3">
      <c r="A241" s="153"/>
      <c r="B241" s="88"/>
      <c r="C241" s="89"/>
      <c r="D241" s="90"/>
      <c r="E241" s="216" t="s">
        <v>149</v>
      </c>
      <c r="F241" s="217">
        <v>0.25</v>
      </c>
      <c r="G241" s="212">
        <f>G240*F241</f>
        <v>28485.598113964752</v>
      </c>
      <c r="H241" s="3"/>
      <c r="J241" s="91">
        <f>SUM(G10:G239)/2</f>
        <v>113942.39245585891</v>
      </c>
    </row>
    <row r="242" spans="1:10" s="72" customFormat="1" ht="21" thickBot="1" x14ac:dyDescent="0.35">
      <c r="A242" s="154"/>
      <c r="B242" s="92"/>
      <c r="C242" s="93"/>
      <c r="D242" s="94"/>
      <c r="E242" s="218"/>
      <c r="F242" s="219" t="s">
        <v>9</v>
      </c>
      <c r="G242" s="213">
        <f>G240+G241</f>
        <v>142427.99056982377</v>
      </c>
      <c r="H242" s="3"/>
      <c r="J242" s="91">
        <f>G240-J241</f>
        <v>0</v>
      </c>
    </row>
    <row r="243" spans="1:10" ht="35.25" customHeight="1" x14ac:dyDescent="0.2">
      <c r="A243" s="155" t="s">
        <v>151</v>
      </c>
      <c r="B243" s="95"/>
      <c r="C243" s="190" t="s">
        <v>182</v>
      </c>
      <c r="D243" s="62"/>
      <c r="E243" s="220"/>
      <c r="F243" s="221"/>
      <c r="G243" s="222"/>
      <c r="H243" s="11"/>
      <c r="I243" s="368"/>
      <c r="J243" s="369"/>
    </row>
    <row r="244" spans="1:10" ht="20.25" x14ac:dyDescent="0.3">
      <c r="C244" s="512" t="s">
        <v>570</v>
      </c>
      <c r="D244" s="62"/>
      <c r="E244" s="537" t="s">
        <v>595</v>
      </c>
      <c r="F244" s="537"/>
      <c r="G244" s="537"/>
      <c r="I244" s="368"/>
      <c r="J244" s="368"/>
    </row>
    <row r="245" spans="1:10" ht="15.75" x14ac:dyDescent="0.2">
      <c r="C245" s="96"/>
      <c r="D245" s="62"/>
      <c r="E245" s="172"/>
      <c r="J245" s="368"/>
    </row>
  </sheetData>
  <mergeCells count="30">
    <mergeCell ref="I5:L5"/>
    <mergeCell ref="I8:L8"/>
    <mergeCell ref="I211:K211"/>
    <mergeCell ref="A1:D1"/>
    <mergeCell ref="A3:D3"/>
    <mergeCell ref="A7:C7"/>
    <mergeCell ref="D7:E7"/>
    <mergeCell ref="A8:G8"/>
    <mergeCell ref="A5:C5"/>
    <mergeCell ref="D6:E6"/>
    <mergeCell ref="D5:E5"/>
    <mergeCell ref="A6:C6"/>
    <mergeCell ref="A2:D2"/>
    <mergeCell ref="I20:J20"/>
    <mergeCell ref="I25:J25"/>
    <mergeCell ref="I55:J55"/>
    <mergeCell ref="I57:J57"/>
    <mergeCell ref="E244:G244"/>
    <mergeCell ref="I26:J26"/>
    <mergeCell ref="I58:J58"/>
    <mergeCell ref="I59:J59"/>
    <mergeCell ref="I99:J99"/>
    <mergeCell ref="I126:J126"/>
    <mergeCell ref="I88:J88"/>
    <mergeCell ref="I78:J78"/>
    <mergeCell ref="I80:J80"/>
    <mergeCell ref="I103:J103"/>
    <mergeCell ref="I98:J98"/>
    <mergeCell ref="I125:J125"/>
    <mergeCell ref="I117:J117"/>
  </mergeCells>
  <phoneticPr fontId="44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44" orientation="portrait" horizontalDpi="300" verticalDpi="300" r:id="rId1"/>
  <headerFooter alignWithMargins="0">
    <oddFooter>&amp;CPágina &amp;P de &amp;N</oddFooter>
  </headerFooter>
  <rowBreaks count="1" manualBreakCount="1">
    <brk id="18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7"/>
  <sheetViews>
    <sheetView zoomScale="75" zoomScaleNormal="75" workbookViewId="0">
      <selection activeCell="C15" sqref="C15"/>
    </sheetView>
  </sheetViews>
  <sheetFormatPr defaultRowHeight="12.75" x14ac:dyDescent="0.2"/>
  <cols>
    <col min="1" max="1" width="9.28515625" style="17" bestFit="1" customWidth="1"/>
    <col min="2" max="2" width="14.140625" style="17" customWidth="1"/>
    <col min="3" max="3" width="23.140625" style="17" customWidth="1"/>
    <col min="4" max="4" width="55.7109375" style="17" customWidth="1"/>
    <col min="5" max="5" width="9.42578125" style="17" bestFit="1" customWidth="1"/>
    <col min="6" max="6" width="16.85546875" style="17" customWidth="1"/>
    <col min="7" max="7" width="13.7109375" style="18" bestFit="1" customWidth="1"/>
    <col min="8" max="8" width="16.42578125" style="18" customWidth="1"/>
    <col min="9" max="9" width="23.5703125" style="64" customWidth="1"/>
    <col min="10" max="10" width="14" style="17" customWidth="1"/>
    <col min="11" max="11" width="39.7109375" style="17" customWidth="1"/>
    <col min="12" max="12" width="5.5703125" style="17" customWidth="1"/>
    <col min="13" max="13" width="12.28515625" style="17" customWidth="1"/>
    <col min="14" max="14" width="13.42578125" style="17" customWidth="1"/>
    <col min="15" max="15" width="12.42578125" style="17" customWidth="1"/>
    <col min="16" max="16384" width="9.140625" style="17"/>
  </cols>
  <sheetData>
    <row r="1" spans="1:9" s="34" customFormat="1" ht="25.5" customHeight="1" x14ac:dyDescent="0.3">
      <c r="A1" s="567" t="s">
        <v>13</v>
      </c>
      <c r="B1" s="568"/>
      <c r="C1" s="568"/>
      <c r="D1" s="568"/>
      <c r="E1" s="568"/>
      <c r="F1" s="26"/>
      <c r="G1" s="27"/>
      <c r="H1" s="28"/>
      <c r="I1" s="110"/>
    </row>
    <row r="2" spans="1:9" s="34" customFormat="1" ht="20.25" customHeight="1" x14ac:dyDescent="0.25">
      <c r="A2" s="569" t="s">
        <v>142</v>
      </c>
      <c r="B2" s="570"/>
      <c r="C2" s="570"/>
      <c r="D2" s="570"/>
      <c r="E2" s="570"/>
      <c r="F2" s="29"/>
      <c r="G2" s="30"/>
      <c r="H2" s="31"/>
      <c r="I2" s="110"/>
    </row>
    <row r="3" spans="1:9" s="34" customFormat="1" ht="18" customHeight="1" x14ac:dyDescent="0.25">
      <c r="A3" s="571" t="s">
        <v>141</v>
      </c>
      <c r="B3" s="572"/>
      <c r="C3" s="572"/>
      <c r="D3" s="572"/>
      <c r="E3" s="572"/>
      <c r="F3" s="32"/>
      <c r="G3" s="30"/>
      <c r="H3" s="31"/>
      <c r="I3" s="110"/>
    </row>
    <row r="4" spans="1:9" s="34" customFormat="1" ht="8.25" customHeight="1" x14ac:dyDescent="0.2">
      <c r="A4" s="33"/>
      <c r="G4" s="35"/>
      <c r="H4" s="36"/>
      <c r="I4" s="110"/>
    </row>
    <row r="5" spans="1:9" s="34" customFormat="1" ht="20.25" customHeight="1" x14ac:dyDescent="0.2">
      <c r="A5" s="68" t="s">
        <v>6</v>
      </c>
      <c r="B5" s="69"/>
      <c r="C5" s="37"/>
      <c r="E5" s="573" t="s">
        <v>8</v>
      </c>
      <c r="F5" s="573"/>
      <c r="G5" s="35"/>
      <c r="H5" s="36"/>
      <c r="I5" s="110"/>
    </row>
    <row r="6" spans="1:9" s="34" customFormat="1" ht="36" customHeight="1" x14ac:dyDescent="0.25">
      <c r="A6" s="574" t="str">
        <f>SERVIÇOS!A5</f>
        <v>Serviços de Recuperação de Ambientes no ICS</v>
      </c>
      <c r="B6" s="575"/>
      <c r="C6" s="575"/>
      <c r="D6" s="575"/>
      <c r="E6" s="559" t="s">
        <v>267</v>
      </c>
      <c r="F6" s="559"/>
      <c r="G6" s="38"/>
      <c r="H6" s="39"/>
      <c r="I6" s="110"/>
    </row>
    <row r="7" spans="1:9" s="34" customFormat="1" ht="19.5" customHeight="1" x14ac:dyDescent="0.2">
      <c r="A7" s="576" t="s">
        <v>7</v>
      </c>
      <c r="B7" s="577"/>
      <c r="C7" s="577"/>
      <c r="E7" s="573" t="s">
        <v>10</v>
      </c>
      <c r="F7" s="573"/>
      <c r="G7" s="578" t="s">
        <v>144</v>
      </c>
      <c r="H7" s="578"/>
      <c r="I7" s="110"/>
    </row>
    <row r="8" spans="1:9" s="34" customFormat="1" ht="15.75" customHeight="1" thickBot="1" x14ac:dyDescent="0.25">
      <c r="A8" s="579" t="str">
        <f>SERVIÇOS!A7</f>
        <v>Campus Universitário do Canela - Salvador - Bahia</v>
      </c>
      <c r="B8" s="580"/>
      <c r="C8" s="580"/>
      <c r="D8" s="580"/>
      <c r="E8" s="581">
        <f>SERVIÇOS!D7</f>
        <v>54.86</v>
      </c>
      <c r="F8" s="581"/>
      <c r="G8" s="582">
        <f ca="1">NOW()</f>
        <v>44229.443061226855</v>
      </c>
      <c r="H8" s="583"/>
      <c r="I8" s="110"/>
    </row>
    <row r="9" spans="1:9" s="66" customFormat="1" ht="13.5" thickTop="1" x14ac:dyDescent="0.2">
      <c r="G9" s="25"/>
      <c r="H9" s="25"/>
      <c r="I9" s="67"/>
    </row>
    <row r="11" spans="1:9" s="66" customFormat="1" ht="20.25" x14ac:dyDescent="0.2">
      <c r="A11" s="566" t="s">
        <v>161</v>
      </c>
      <c r="B11" s="566"/>
      <c r="C11" s="566"/>
      <c r="D11" s="566"/>
      <c r="E11" s="566"/>
      <c r="F11" s="566"/>
      <c r="G11" s="566"/>
      <c r="H11" s="566"/>
      <c r="I11" s="67"/>
    </row>
    <row r="12" spans="1:9" s="66" customFormat="1" ht="13.5" x14ac:dyDescent="0.25">
      <c r="E12" s="189"/>
      <c r="G12" s="25"/>
      <c r="H12" s="25"/>
      <c r="I12" s="67"/>
    </row>
    <row r="13" spans="1:9" s="66" customFormat="1" x14ac:dyDescent="0.2">
      <c r="C13" s="180">
        <v>88309</v>
      </c>
      <c r="D13" s="181" t="s">
        <v>162</v>
      </c>
      <c r="E13" s="188">
        <v>24.45</v>
      </c>
      <c r="G13" s="25"/>
      <c r="H13" s="25"/>
      <c r="I13" s="67"/>
    </row>
    <row r="14" spans="1:9" s="66" customFormat="1" x14ac:dyDescent="0.2">
      <c r="C14" s="180">
        <v>88316</v>
      </c>
      <c r="D14" s="181" t="s">
        <v>160</v>
      </c>
      <c r="E14" s="188">
        <v>17</v>
      </c>
      <c r="G14" s="25"/>
      <c r="H14" s="25"/>
      <c r="I14" s="67"/>
    </row>
    <row r="15" spans="1:9" ht="33.75" customHeight="1" x14ac:dyDescent="0.2">
      <c r="C15" s="180">
        <v>88267</v>
      </c>
      <c r="D15" s="181" t="s">
        <v>322</v>
      </c>
      <c r="E15" s="188">
        <v>23.96</v>
      </c>
    </row>
    <row r="16" spans="1:9" ht="24" x14ac:dyDescent="0.2">
      <c r="C16" s="180">
        <v>88261</v>
      </c>
      <c r="D16" s="181" t="s">
        <v>339</v>
      </c>
      <c r="E16" s="188">
        <v>24.27</v>
      </c>
    </row>
    <row r="17" spans="1:9" ht="24" x14ac:dyDescent="0.2">
      <c r="C17" s="180">
        <v>88239</v>
      </c>
      <c r="D17" s="181" t="s">
        <v>345</v>
      </c>
      <c r="E17" s="188">
        <v>20.48</v>
      </c>
    </row>
    <row r="18" spans="1:9" x14ac:dyDescent="0.2">
      <c r="C18" s="180">
        <v>88325</v>
      </c>
      <c r="D18" s="181" t="s">
        <v>347</v>
      </c>
      <c r="E18" s="188">
        <v>18.77</v>
      </c>
    </row>
    <row r="19" spans="1:9" ht="12.75" customHeight="1" x14ac:dyDescent="0.2">
      <c r="C19" s="230">
        <v>88315</v>
      </c>
      <c r="D19" s="231" t="s">
        <v>364</v>
      </c>
      <c r="E19" s="188">
        <v>24.33</v>
      </c>
    </row>
    <row r="20" spans="1:9" ht="12.75" customHeight="1" x14ac:dyDescent="0.2">
      <c r="C20" s="229"/>
      <c r="D20" s="232"/>
      <c r="E20" s="233"/>
    </row>
    <row r="24" spans="1:9" s="66" customFormat="1" ht="24" x14ac:dyDescent="0.2">
      <c r="A24" s="178" t="str">
        <f>SERVIÇOS!A28</f>
        <v>3.1.6</v>
      </c>
      <c r="B24" s="193"/>
      <c r="C24" s="193">
        <v>88036</v>
      </c>
      <c r="D24" s="194" t="s">
        <v>253</v>
      </c>
      <c r="E24" s="193" t="s">
        <v>159</v>
      </c>
      <c r="F24" s="178" t="s">
        <v>178</v>
      </c>
      <c r="G24" s="178" t="s">
        <v>179</v>
      </c>
      <c r="H24" s="178" t="s">
        <v>165</v>
      </c>
      <c r="I24" s="67"/>
    </row>
    <row r="25" spans="1:9" s="66" customFormat="1" x14ac:dyDescent="0.2">
      <c r="A25" s="195"/>
      <c r="B25" s="180" t="s">
        <v>166</v>
      </c>
      <c r="C25" s="180">
        <v>88316</v>
      </c>
      <c r="D25" s="181" t="s">
        <v>160</v>
      </c>
      <c r="E25" s="180" t="s">
        <v>156</v>
      </c>
      <c r="F25" s="196">
        <v>1.7346999999999999</v>
      </c>
      <c r="G25" s="184">
        <f>$E$14</f>
        <v>17</v>
      </c>
      <c r="H25" s="197">
        <f>G25*F25</f>
        <v>29.489899999999999</v>
      </c>
      <c r="I25" s="67"/>
    </row>
    <row r="26" spans="1:9" s="66" customFormat="1" x14ac:dyDescent="0.2">
      <c r="B26" s="198"/>
      <c r="C26" s="199"/>
      <c r="G26" s="200" t="s">
        <v>180</v>
      </c>
      <c r="H26" s="201">
        <f>SUM(H25:H25)</f>
        <v>29.489899999999999</v>
      </c>
      <c r="I26" s="67"/>
    </row>
    <row r="27" spans="1:9" s="66" customFormat="1" x14ac:dyDescent="0.2">
      <c r="G27" s="25"/>
      <c r="H27" s="25"/>
      <c r="I27" s="67"/>
    </row>
    <row r="28" spans="1:9" s="66" customFormat="1" x14ac:dyDescent="0.2">
      <c r="G28" s="25"/>
      <c r="H28" s="25"/>
      <c r="I28" s="67"/>
    </row>
    <row r="29" spans="1:9" s="66" customFormat="1" x14ac:dyDescent="0.2">
      <c r="G29" s="25"/>
      <c r="H29" s="25"/>
      <c r="I29" s="67"/>
    </row>
    <row r="30" spans="1:9" s="66" customFormat="1" ht="24" x14ac:dyDescent="0.2">
      <c r="A30" s="178" t="str">
        <f>SERVIÇOS!A29</f>
        <v>3.1.7</v>
      </c>
      <c r="B30" s="178"/>
      <c r="C30" s="178">
        <v>72897</v>
      </c>
      <c r="D30" s="179" t="s">
        <v>181</v>
      </c>
      <c r="E30" s="193" t="s">
        <v>159</v>
      </c>
      <c r="F30" s="178" t="s">
        <v>163</v>
      </c>
      <c r="G30" s="178" t="s">
        <v>164</v>
      </c>
      <c r="H30" s="178" t="s">
        <v>165</v>
      </c>
    </row>
    <row r="31" spans="1:9" s="66" customFormat="1" x14ac:dyDescent="0.2">
      <c r="A31" s="180"/>
      <c r="B31" s="180" t="s">
        <v>166</v>
      </c>
      <c r="C31" s="180">
        <v>88316</v>
      </c>
      <c r="D31" s="181" t="s">
        <v>160</v>
      </c>
      <c r="E31" s="180" t="s">
        <v>156</v>
      </c>
      <c r="F31" s="188">
        <v>0.7</v>
      </c>
      <c r="G31" s="184">
        <f>$E$14</f>
        <v>17</v>
      </c>
      <c r="H31" s="197">
        <f>G31*F31</f>
        <v>11.899999999999999</v>
      </c>
    </row>
    <row r="32" spans="1:9" s="66" customFormat="1" ht="37.5" customHeight="1" x14ac:dyDescent="0.2">
      <c r="A32" s="180"/>
      <c r="B32" s="180" t="s">
        <v>166</v>
      </c>
      <c r="C32" s="180">
        <v>5961</v>
      </c>
      <c r="D32" s="202" t="s">
        <v>183</v>
      </c>
      <c r="E32" s="188" t="s">
        <v>184</v>
      </c>
      <c r="F32" s="188">
        <v>0.25</v>
      </c>
      <c r="G32" s="183">
        <v>43.03</v>
      </c>
      <c r="H32" s="183">
        <f>G32*F32</f>
        <v>10.7575</v>
      </c>
    </row>
    <row r="33" spans="1:10" s="66" customFormat="1" x14ac:dyDescent="0.2">
      <c r="G33" s="187" t="s">
        <v>14</v>
      </c>
      <c r="H33" s="187">
        <f>SUM(H31:H32)</f>
        <v>22.657499999999999</v>
      </c>
    </row>
    <row r="34" spans="1:10" s="66" customFormat="1" x14ac:dyDescent="0.2">
      <c r="G34" s="25"/>
      <c r="H34" s="25"/>
      <c r="I34" s="67"/>
    </row>
    <row r="35" spans="1:10" s="66" customFormat="1" x14ac:dyDescent="0.2">
      <c r="G35" s="25"/>
      <c r="H35" s="25"/>
      <c r="I35" s="67"/>
    </row>
    <row r="36" spans="1:10" s="66" customFormat="1" x14ac:dyDescent="0.2">
      <c r="G36" s="25"/>
      <c r="H36" s="25"/>
      <c r="I36" s="67"/>
    </row>
    <row r="37" spans="1:10" s="66" customFormat="1" ht="36" x14ac:dyDescent="0.2">
      <c r="A37" s="178" t="str">
        <f>SERVIÇOS!A50</f>
        <v>3.6.1</v>
      </c>
      <c r="B37" s="193"/>
      <c r="C37" s="193"/>
      <c r="D37" s="194" t="s">
        <v>491</v>
      </c>
      <c r="E37" s="193" t="s">
        <v>2</v>
      </c>
      <c r="F37" s="178" t="s">
        <v>163</v>
      </c>
      <c r="G37" s="178" t="s">
        <v>164</v>
      </c>
      <c r="H37" s="178" t="s">
        <v>165</v>
      </c>
      <c r="I37" s="67"/>
    </row>
    <row r="38" spans="1:10" s="66" customFormat="1" ht="36" x14ac:dyDescent="0.2">
      <c r="A38" s="180"/>
      <c r="B38" s="180" t="s">
        <v>167</v>
      </c>
      <c r="C38" s="180" t="s">
        <v>579</v>
      </c>
      <c r="D38" s="181" t="s">
        <v>340</v>
      </c>
      <c r="E38" s="188" t="s">
        <v>2</v>
      </c>
      <c r="F38" s="188">
        <v>1</v>
      </c>
      <c r="G38" s="184">
        <v>72.37</v>
      </c>
      <c r="H38" s="197">
        <f>F38*G38</f>
        <v>72.37</v>
      </c>
    </row>
    <row r="39" spans="1:10" s="66" customFormat="1" ht="24" x14ac:dyDescent="0.2">
      <c r="A39" s="180"/>
      <c r="B39" s="180" t="s">
        <v>166</v>
      </c>
      <c r="C39" s="180" t="s">
        <v>372</v>
      </c>
      <c r="D39" s="181" t="s">
        <v>371</v>
      </c>
      <c r="E39" s="188" t="s">
        <v>2</v>
      </c>
      <c r="F39" s="188">
        <v>1</v>
      </c>
      <c r="G39" s="184">
        <v>92.82</v>
      </c>
      <c r="H39" s="197">
        <f>F39*G39</f>
        <v>92.82</v>
      </c>
    </row>
    <row r="40" spans="1:10" s="66" customFormat="1" ht="38.25" customHeight="1" x14ac:dyDescent="0.2">
      <c r="A40" s="180"/>
      <c r="B40" s="180" t="s">
        <v>167</v>
      </c>
      <c r="C40" s="180" t="s">
        <v>580</v>
      </c>
      <c r="D40" s="181" t="s">
        <v>341</v>
      </c>
      <c r="E40" s="188" t="s">
        <v>2</v>
      </c>
      <c r="F40" s="188">
        <v>2</v>
      </c>
      <c r="G40" s="183">
        <v>11.8</v>
      </c>
      <c r="H40" s="197">
        <f>F40*G40</f>
        <v>23.6</v>
      </c>
    </row>
    <row r="41" spans="1:10" s="66" customFormat="1" ht="37.5" customHeight="1" x14ac:dyDescent="0.2">
      <c r="A41" s="180"/>
      <c r="B41" s="180" t="s">
        <v>166</v>
      </c>
      <c r="C41" s="180" t="s">
        <v>581</v>
      </c>
      <c r="D41" s="181" t="s">
        <v>342</v>
      </c>
      <c r="E41" s="188" t="s">
        <v>2</v>
      </c>
      <c r="F41" s="188">
        <v>1</v>
      </c>
      <c r="G41" s="183">
        <v>354.59</v>
      </c>
      <c r="H41" s="197">
        <f>F41*G41</f>
        <v>354.59</v>
      </c>
    </row>
    <row r="42" spans="1:10" ht="18" x14ac:dyDescent="0.2">
      <c r="A42" s="223"/>
      <c r="B42" s="224"/>
      <c r="C42" s="224"/>
      <c r="D42" s="224"/>
      <c r="E42" s="224"/>
      <c r="F42" s="224"/>
      <c r="G42" s="187" t="s">
        <v>14</v>
      </c>
      <c r="H42" s="187">
        <f>SUM(H38:H41)</f>
        <v>543.38</v>
      </c>
      <c r="I42" s="66"/>
      <c r="J42" s="66"/>
    </row>
    <row r="43" spans="1:10" x14ac:dyDescent="0.2">
      <c r="G43" s="17"/>
      <c r="H43" s="17"/>
      <c r="I43" s="66"/>
      <c r="J43" s="66"/>
    </row>
    <row r="44" spans="1:10" s="66" customFormat="1" x14ac:dyDescent="0.2">
      <c r="G44" s="25"/>
      <c r="H44" s="25"/>
      <c r="I44" s="67"/>
    </row>
    <row r="45" spans="1:10" s="66" customFormat="1" x14ac:dyDescent="0.2">
      <c r="G45" s="25"/>
      <c r="H45" s="25"/>
      <c r="I45" s="67"/>
    </row>
    <row r="46" spans="1:10" s="66" customFormat="1" ht="36" x14ac:dyDescent="0.2">
      <c r="A46" s="178" t="str">
        <f>SERVIÇOS!A51</f>
        <v>3.6.2</v>
      </c>
      <c r="B46" s="193"/>
      <c r="C46" s="193" t="s">
        <v>360</v>
      </c>
      <c r="D46" s="194" t="s">
        <v>354</v>
      </c>
      <c r="E46" s="193" t="s">
        <v>2</v>
      </c>
      <c r="F46" s="178" t="s">
        <v>163</v>
      </c>
      <c r="G46" s="178" t="s">
        <v>164</v>
      </c>
      <c r="H46" s="178" t="s">
        <v>165</v>
      </c>
      <c r="I46" s="67"/>
    </row>
    <row r="47" spans="1:10" s="66" customFormat="1" ht="48" x14ac:dyDescent="0.2">
      <c r="A47" s="180"/>
      <c r="B47" s="230" t="s">
        <v>338</v>
      </c>
      <c r="C47" s="230" t="s">
        <v>355</v>
      </c>
      <c r="D47" s="231" t="s">
        <v>356</v>
      </c>
      <c r="E47" s="230" t="s">
        <v>357</v>
      </c>
      <c r="F47" s="188">
        <v>1</v>
      </c>
      <c r="G47" s="184">
        <v>294.25</v>
      </c>
      <c r="H47" s="197">
        <f>F47*G47</f>
        <v>294.25</v>
      </c>
    </row>
    <row r="48" spans="1:10" s="66" customFormat="1" ht="48" x14ac:dyDescent="0.2">
      <c r="A48" s="180"/>
      <c r="B48" s="230" t="s">
        <v>338</v>
      </c>
      <c r="C48" s="230" t="s">
        <v>358</v>
      </c>
      <c r="D48" s="231" t="s">
        <v>359</v>
      </c>
      <c r="E48" s="230" t="s">
        <v>357</v>
      </c>
      <c r="F48" s="188">
        <v>1</v>
      </c>
      <c r="G48" s="184">
        <v>134.71</v>
      </c>
      <c r="H48" s="197">
        <f>F48*G48</f>
        <v>134.71</v>
      </c>
    </row>
    <row r="49" spans="1:10" ht="18" x14ac:dyDescent="0.2">
      <c r="A49" s="223"/>
      <c r="B49" s="224"/>
      <c r="C49" s="224"/>
      <c r="D49" s="224"/>
      <c r="E49" s="224"/>
      <c r="F49" s="224"/>
      <c r="G49" s="187" t="s">
        <v>14</v>
      </c>
      <c r="H49" s="187">
        <f>SUM(H47:H48)</f>
        <v>428.96000000000004</v>
      </c>
      <c r="I49" s="66"/>
      <c r="J49" s="66"/>
    </row>
    <row r="50" spans="1:10" x14ac:dyDescent="0.2">
      <c r="G50" s="17"/>
      <c r="H50" s="17"/>
      <c r="I50" s="66"/>
      <c r="J50" s="66"/>
    </row>
    <row r="51" spans="1:10" s="66" customFormat="1" x14ac:dyDescent="0.2">
      <c r="G51" s="25"/>
      <c r="H51" s="25"/>
      <c r="I51" s="67"/>
    </row>
    <row r="52" spans="1:10" s="66" customFormat="1" x14ac:dyDescent="0.2">
      <c r="G52" s="25"/>
      <c r="H52" s="25"/>
      <c r="I52" s="67"/>
    </row>
    <row r="53" spans="1:10" s="66" customFormat="1" ht="36" x14ac:dyDescent="0.2">
      <c r="A53" s="178" t="str">
        <f>SERVIÇOS!A52</f>
        <v>3.6.3</v>
      </c>
      <c r="B53" s="193"/>
      <c r="C53" s="193" t="s">
        <v>362</v>
      </c>
      <c r="D53" s="194" t="s">
        <v>361</v>
      </c>
      <c r="E53" s="193" t="s">
        <v>154</v>
      </c>
      <c r="F53" s="178" t="s">
        <v>163</v>
      </c>
      <c r="G53" s="178" t="s">
        <v>164</v>
      </c>
      <c r="H53" s="178" t="s">
        <v>165</v>
      </c>
      <c r="I53" s="67"/>
    </row>
    <row r="54" spans="1:10" s="66" customFormat="1" x14ac:dyDescent="0.2">
      <c r="A54" s="180"/>
      <c r="B54" s="180" t="s">
        <v>338</v>
      </c>
      <c r="C54" s="180">
        <v>88316</v>
      </c>
      <c r="D54" s="181" t="s">
        <v>160</v>
      </c>
      <c r="E54" s="180" t="s">
        <v>156</v>
      </c>
      <c r="F54" s="188">
        <v>0.5</v>
      </c>
      <c r="G54" s="184">
        <f>$E$14</f>
        <v>17</v>
      </c>
      <c r="H54" s="197">
        <f>F54*G54</f>
        <v>8.5</v>
      </c>
    </row>
    <row r="55" spans="1:10" s="66" customFormat="1" x14ac:dyDescent="0.2">
      <c r="A55" s="180"/>
      <c r="B55" s="180" t="s">
        <v>338</v>
      </c>
      <c r="C55" s="230">
        <v>88315</v>
      </c>
      <c r="D55" s="231" t="s">
        <v>364</v>
      </c>
      <c r="E55" s="180" t="s">
        <v>156</v>
      </c>
      <c r="F55" s="188">
        <v>0.5</v>
      </c>
      <c r="G55" s="184">
        <f>$E$19</f>
        <v>24.33</v>
      </c>
      <c r="H55" s="197">
        <f>F55*G55</f>
        <v>12.164999999999999</v>
      </c>
    </row>
    <row r="56" spans="1:10" s="66" customFormat="1" ht="38.25" customHeight="1" x14ac:dyDescent="0.2">
      <c r="A56" s="180"/>
      <c r="B56" s="230" t="s">
        <v>167</v>
      </c>
      <c r="C56" s="180">
        <v>39418</v>
      </c>
      <c r="D56" s="181" t="s">
        <v>363</v>
      </c>
      <c r="E56" s="188" t="s">
        <v>154</v>
      </c>
      <c r="F56" s="188">
        <v>1</v>
      </c>
      <c r="G56" s="183">
        <v>5.29</v>
      </c>
      <c r="H56" s="197">
        <f>F56*G56</f>
        <v>5.29</v>
      </c>
    </row>
    <row r="57" spans="1:10" ht="18" x14ac:dyDescent="0.2">
      <c r="A57" s="223"/>
      <c r="B57" s="224"/>
      <c r="C57" s="224"/>
      <c r="D57" s="224"/>
      <c r="E57" s="224"/>
      <c r="F57" s="224"/>
      <c r="G57" s="187" t="s">
        <v>14</v>
      </c>
      <c r="H57" s="187">
        <f>SUM(H54:H56)</f>
        <v>25.954999999999998</v>
      </c>
      <c r="I57" s="66"/>
      <c r="J57" s="66"/>
    </row>
    <row r="58" spans="1:10" s="66" customFormat="1" x14ac:dyDescent="0.2">
      <c r="G58" s="25"/>
      <c r="H58" s="25"/>
      <c r="I58" s="67"/>
    </row>
    <row r="59" spans="1:10" s="66" customFormat="1" x14ac:dyDescent="0.2">
      <c r="G59" s="25"/>
      <c r="H59" s="25"/>
      <c r="I59" s="67"/>
    </row>
    <row r="60" spans="1:10" s="66" customFormat="1" x14ac:dyDescent="0.2">
      <c r="G60" s="25"/>
      <c r="H60" s="25"/>
      <c r="I60" s="67"/>
    </row>
    <row r="61" spans="1:10" s="66" customFormat="1" x14ac:dyDescent="0.2">
      <c r="A61" s="178" t="str">
        <f>SERVIÇOS!A61</f>
        <v>4.1.7</v>
      </c>
      <c r="B61" s="178"/>
      <c r="C61" s="178" t="s">
        <v>578</v>
      </c>
      <c r="D61" s="179" t="s">
        <v>344</v>
      </c>
      <c r="E61" s="193" t="s">
        <v>1</v>
      </c>
      <c r="F61" s="178" t="s">
        <v>163</v>
      </c>
      <c r="G61" s="178" t="s">
        <v>164</v>
      </c>
      <c r="H61" s="178" t="s">
        <v>165</v>
      </c>
    </row>
    <row r="62" spans="1:10" s="66" customFormat="1" x14ac:dyDescent="0.2">
      <c r="A62" s="180"/>
      <c r="B62" s="180" t="s">
        <v>338</v>
      </c>
      <c r="C62" s="180">
        <v>88316</v>
      </c>
      <c r="D62" s="181" t="s">
        <v>160</v>
      </c>
      <c r="E62" s="180" t="s">
        <v>156</v>
      </c>
      <c r="F62" s="188">
        <v>0.4</v>
      </c>
      <c r="G62" s="184">
        <f>$E$14</f>
        <v>17</v>
      </c>
      <c r="H62" s="197">
        <f>F62*G62</f>
        <v>6.8000000000000007</v>
      </c>
    </row>
    <row r="63" spans="1:10" s="66" customFormat="1" x14ac:dyDescent="0.2">
      <c r="A63" s="180"/>
      <c r="B63" s="180" t="s">
        <v>166</v>
      </c>
      <c r="C63" s="225" t="s">
        <v>346</v>
      </c>
      <c r="D63" s="226" t="s">
        <v>347</v>
      </c>
      <c r="E63" s="225" t="s">
        <v>156</v>
      </c>
      <c r="F63" s="188">
        <v>1</v>
      </c>
      <c r="G63" s="183">
        <f>$E$18</f>
        <v>18.77</v>
      </c>
      <c r="H63" s="183">
        <f>G63*F63</f>
        <v>18.77</v>
      </c>
    </row>
    <row r="64" spans="1:10" s="66" customFormat="1" x14ac:dyDescent="0.2">
      <c r="G64" s="187" t="s">
        <v>14</v>
      </c>
      <c r="H64" s="187">
        <f>SUM(H62:H63)</f>
        <v>25.57</v>
      </c>
    </row>
    <row r="65" spans="1:10" s="66" customFormat="1" x14ac:dyDescent="0.2">
      <c r="G65" s="25"/>
      <c r="H65" s="25"/>
    </row>
    <row r="66" spans="1:10" s="66" customFormat="1" x14ac:dyDescent="0.2">
      <c r="G66" s="25"/>
      <c r="H66" s="25"/>
      <c r="I66" s="67"/>
    </row>
    <row r="67" spans="1:10" s="66" customFormat="1" x14ac:dyDescent="0.2">
      <c r="G67" s="25"/>
      <c r="H67" s="25"/>
      <c r="I67" s="67"/>
    </row>
    <row r="68" spans="1:10" s="66" customFormat="1" x14ac:dyDescent="0.2">
      <c r="A68" s="178" t="str">
        <f>SERVIÇOS!A62</f>
        <v>4.1.8</v>
      </c>
      <c r="B68" s="193"/>
      <c r="C68" s="193" t="s">
        <v>337</v>
      </c>
      <c r="D68" s="194" t="s">
        <v>501</v>
      </c>
      <c r="E68" s="193" t="s">
        <v>2</v>
      </c>
      <c r="F68" s="178" t="s">
        <v>163</v>
      </c>
      <c r="G68" s="178" t="s">
        <v>164</v>
      </c>
      <c r="H68" s="178" t="s">
        <v>165</v>
      </c>
      <c r="I68" s="67"/>
    </row>
    <row r="69" spans="1:10" s="66" customFormat="1" x14ac:dyDescent="0.2">
      <c r="A69" s="180"/>
      <c r="B69" s="180" t="s">
        <v>338</v>
      </c>
      <c r="C69" s="180">
        <v>88316</v>
      </c>
      <c r="D69" s="181" t="s">
        <v>160</v>
      </c>
      <c r="E69" s="180" t="s">
        <v>156</v>
      </c>
      <c r="F69" s="188">
        <v>0.5</v>
      </c>
      <c r="G69" s="184">
        <f>$E$14</f>
        <v>17</v>
      </c>
      <c r="H69" s="197">
        <f>F69*G69</f>
        <v>8.5</v>
      </c>
    </row>
    <row r="70" spans="1:10" s="66" customFormat="1" ht="37.5" customHeight="1" x14ac:dyDescent="0.2">
      <c r="A70" s="180"/>
      <c r="B70" s="180" t="s">
        <v>338</v>
      </c>
      <c r="C70" s="180">
        <v>88261</v>
      </c>
      <c r="D70" s="181" t="s">
        <v>339</v>
      </c>
      <c r="E70" s="188" t="s">
        <v>156</v>
      </c>
      <c r="F70" s="188">
        <v>0.25</v>
      </c>
      <c r="G70" s="183">
        <f>$E$16</f>
        <v>24.27</v>
      </c>
      <c r="H70" s="183">
        <f>F70*G70</f>
        <v>6.0674999999999999</v>
      </c>
    </row>
    <row r="71" spans="1:10" ht="18" x14ac:dyDescent="0.2">
      <c r="A71" s="223"/>
      <c r="B71" s="224"/>
      <c r="C71" s="224"/>
      <c r="D71" s="224"/>
      <c r="E71" s="224"/>
      <c r="F71" s="224"/>
      <c r="G71" s="187" t="s">
        <v>14</v>
      </c>
      <c r="H71" s="187">
        <f>SUM(H69:H70)</f>
        <v>14.567499999999999</v>
      </c>
      <c r="I71" s="66"/>
      <c r="J71" s="66"/>
    </row>
    <row r="72" spans="1:10" x14ac:dyDescent="0.2">
      <c r="G72" s="17"/>
      <c r="H72" s="17"/>
      <c r="I72" s="66"/>
      <c r="J72" s="66"/>
    </row>
    <row r="75" spans="1:10" s="66" customFormat="1" ht="72" x14ac:dyDescent="0.2">
      <c r="A75" s="180" t="str">
        <f>SERVIÇOS!A80</f>
        <v>4.4.1</v>
      </c>
      <c r="B75" s="180"/>
      <c r="C75" s="180" t="s">
        <v>286</v>
      </c>
      <c r="D75" s="181" t="s">
        <v>500</v>
      </c>
      <c r="E75" s="180" t="s">
        <v>1</v>
      </c>
      <c r="F75" s="178" t="s">
        <v>163</v>
      </c>
      <c r="G75" s="180" t="s">
        <v>164</v>
      </c>
      <c r="H75" s="180" t="s">
        <v>165</v>
      </c>
      <c r="I75" s="67"/>
    </row>
    <row r="76" spans="1:10" s="66" customFormat="1" ht="24" x14ac:dyDescent="0.2">
      <c r="A76" s="180"/>
      <c r="B76" s="180" t="s">
        <v>167</v>
      </c>
      <c r="C76" s="180" t="s">
        <v>582</v>
      </c>
      <c r="D76" s="181" t="s">
        <v>290</v>
      </c>
      <c r="E76" s="203" t="s">
        <v>288</v>
      </c>
      <c r="F76" s="197">
        <v>0.38</v>
      </c>
      <c r="G76" s="183">
        <v>5.5</v>
      </c>
      <c r="H76" s="184">
        <f>F76*G76</f>
        <v>2.09</v>
      </c>
      <c r="I76" s="67"/>
    </row>
    <row r="77" spans="1:10" s="66" customFormat="1" ht="24" x14ac:dyDescent="0.2">
      <c r="A77" s="180"/>
      <c r="B77" s="180" t="s">
        <v>167</v>
      </c>
      <c r="C77" s="180" t="s">
        <v>499</v>
      </c>
      <c r="D77" s="181" t="s">
        <v>287</v>
      </c>
      <c r="E77" s="180" t="s">
        <v>1</v>
      </c>
      <c r="F77" s="197">
        <v>1.05</v>
      </c>
      <c r="G77" s="183">
        <f>36.9</f>
        <v>36.9</v>
      </c>
      <c r="H77" s="184">
        <f t="shared" ref="H77:H80" si="0">F77*G77</f>
        <v>38.744999999999997</v>
      </c>
      <c r="I77" s="64"/>
    </row>
    <row r="78" spans="1:10" s="66" customFormat="1" x14ac:dyDescent="0.2">
      <c r="A78" s="180"/>
      <c r="B78" s="180" t="s">
        <v>167</v>
      </c>
      <c r="C78" s="180">
        <v>34353</v>
      </c>
      <c r="D78" s="181" t="s">
        <v>289</v>
      </c>
      <c r="E78" s="203" t="s">
        <v>288</v>
      </c>
      <c r="F78" s="197">
        <v>4</v>
      </c>
      <c r="G78" s="183">
        <v>1.21</v>
      </c>
      <c r="H78" s="184">
        <f t="shared" si="0"/>
        <v>4.84</v>
      </c>
      <c r="I78" s="67"/>
    </row>
    <row r="79" spans="1:10" s="66" customFormat="1" x14ac:dyDescent="0.2">
      <c r="A79" s="180"/>
      <c r="B79" s="180" t="s">
        <v>166</v>
      </c>
      <c r="C79" s="180">
        <v>88309</v>
      </c>
      <c r="D79" s="181" t="s">
        <v>162</v>
      </c>
      <c r="E79" s="180" t="s">
        <v>156</v>
      </c>
      <c r="F79" s="197">
        <v>0.55000000000000004</v>
      </c>
      <c r="G79" s="183">
        <f>$E$13</f>
        <v>24.45</v>
      </c>
      <c r="H79" s="184">
        <f>G79*F79</f>
        <v>13.447500000000002</v>
      </c>
      <c r="I79" s="67"/>
    </row>
    <row r="80" spans="1:10" s="66" customFormat="1" x14ac:dyDescent="0.2">
      <c r="A80" s="180"/>
      <c r="B80" s="180" t="s">
        <v>166</v>
      </c>
      <c r="C80" s="180">
        <v>88316</v>
      </c>
      <c r="D80" s="181" t="s">
        <v>160</v>
      </c>
      <c r="E80" s="180" t="s">
        <v>156</v>
      </c>
      <c r="F80" s="197">
        <v>0.45</v>
      </c>
      <c r="G80" s="184">
        <f>$E$14</f>
        <v>17</v>
      </c>
      <c r="H80" s="183">
        <f t="shared" si="0"/>
        <v>7.65</v>
      </c>
      <c r="I80" s="204"/>
    </row>
    <row r="81" spans="1:10" s="66" customFormat="1" x14ac:dyDescent="0.2">
      <c r="B81" s="198"/>
      <c r="C81" s="199"/>
      <c r="D81" s="205"/>
      <c r="G81" s="187" t="s">
        <v>14</v>
      </c>
      <c r="H81" s="187">
        <f>SUM(H76:H80)</f>
        <v>66.772500000000008</v>
      </c>
      <c r="I81" s="67"/>
    </row>
    <row r="83" spans="1:10" s="66" customFormat="1" x14ac:dyDescent="0.2">
      <c r="G83" s="25"/>
      <c r="H83" s="25"/>
      <c r="I83" s="67"/>
    </row>
    <row r="84" spans="1:10" s="66" customFormat="1" x14ac:dyDescent="0.2">
      <c r="G84" s="25"/>
      <c r="H84" s="25"/>
      <c r="I84" s="67"/>
    </row>
    <row r="85" spans="1:10" s="66" customFormat="1" x14ac:dyDescent="0.2">
      <c r="A85" s="178" t="str">
        <f>SERVIÇOS!A104</f>
        <v>5.1.9</v>
      </c>
      <c r="B85" s="193"/>
      <c r="C85" s="193" t="s">
        <v>374</v>
      </c>
      <c r="D85" s="194" t="s">
        <v>373</v>
      </c>
      <c r="E85" s="193" t="s">
        <v>2</v>
      </c>
      <c r="F85" s="178" t="s">
        <v>163</v>
      </c>
      <c r="G85" s="178" t="s">
        <v>164</v>
      </c>
      <c r="H85" s="178" t="s">
        <v>165</v>
      </c>
      <c r="I85" s="67"/>
    </row>
    <row r="86" spans="1:10" s="66" customFormat="1" ht="24" x14ac:dyDescent="0.2">
      <c r="A86" s="180"/>
      <c r="B86" s="180" t="s">
        <v>338</v>
      </c>
      <c r="C86" s="180">
        <v>88261</v>
      </c>
      <c r="D86" s="181" t="s">
        <v>339</v>
      </c>
      <c r="E86" s="188" t="s">
        <v>156</v>
      </c>
      <c r="F86" s="188">
        <v>0.91400000000000003</v>
      </c>
      <c r="G86" s="183">
        <f>$E$16</f>
        <v>24.27</v>
      </c>
      <c r="H86" s="183">
        <f>F86*G86</f>
        <v>22.182780000000001</v>
      </c>
    </row>
    <row r="87" spans="1:10" ht="18" x14ac:dyDescent="0.2">
      <c r="A87" s="223"/>
      <c r="B87" s="224"/>
      <c r="C87" s="224"/>
      <c r="D87" s="224"/>
      <c r="E87" s="224"/>
      <c r="F87" s="224"/>
      <c r="G87" s="187" t="s">
        <v>14</v>
      </c>
      <c r="H87" s="187">
        <f>SUM(H86:H86)</f>
        <v>22.182780000000001</v>
      </c>
      <c r="I87" s="66"/>
      <c r="J87" s="66"/>
    </row>
    <row r="88" spans="1:10" s="66" customFormat="1" x14ac:dyDescent="0.2">
      <c r="G88" s="25"/>
      <c r="H88" s="25"/>
      <c r="I88" s="67"/>
    </row>
    <row r="90" spans="1:10" s="66" customFormat="1" x14ac:dyDescent="0.2">
      <c r="G90" s="25"/>
      <c r="H90" s="25"/>
      <c r="I90" s="67"/>
    </row>
    <row r="91" spans="1:10" s="66" customFormat="1" x14ac:dyDescent="0.2">
      <c r="A91" s="178" t="str">
        <f>SERVIÇOS!A114</f>
        <v>5.3.2</v>
      </c>
      <c r="B91" s="178"/>
      <c r="C91" s="178" t="s">
        <v>320</v>
      </c>
      <c r="D91" s="179" t="s">
        <v>321</v>
      </c>
      <c r="E91" s="178" t="s">
        <v>2</v>
      </c>
      <c r="F91" s="178" t="s">
        <v>163</v>
      </c>
      <c r="G91" s="178" t="s">
        <v>164</v>
      </c>
      <c r="H91" s="178" t="s">
        <v>165</v>
      </c>
      <c r="I91" s="67"/>
    </row>
    <row r="92" spans="1:10" s="66" customFormat="1" x14ac:dyDescent="0.2">
      <c r="A92" s="180"/>
      <c r="B92" s="180" t="s">
        <v>167</v>
      </c>
      <c r="C92" s="180" t="s">
        <v>583</v>
      </c>
      <c r="D92" s="181" t="s">
        <v>325</v>
      </c>
      <c r="E92" s="180" t="s">
        <v>288</v>
      </c>
      <c r="F92" s="182">
        <v>0.17399999999999999</v>
      </c>
      <c r="G92" s="183">
        <v>55.26</v>
      </c>
      <c r="H92" s="184">
        <f>F92*G92</f>
        <v>9.6152399999999982</v>
      </c>
      <c r="I92" s="67"/>
    </row>
    <row r="93" spans="1:10" s="66" customFormat="1" ht="24" x14ac:dyDescent="0.2">
      <c r="A93" s="180"/>
      <c r="B93" s="180" t="s">
        <v>167</v>
      </c>
      <c r="C93" s="180">
        <v>3500</v>
      </c>
      <c r="D93" s="181" t="s">
        <v>323</v>
      </c>
      <c r="E93" s="180" t="s">
        <v>2</v>
      </c>
      <c r="F93" s="188">
        <v>0.1</v>
      </c>
      <c r="G93" s="183">
        <v>1.38</v>
      </c>
      <c r="H93" s="184">
        <f t="shared" ref="H93:H94" si="1">F93*G93</f>
        <v>0.13799999999999998</v>
      </c>
      <c r="I93" s="67"/>
    </row>
    <row r="94" spans="1:10" s="66" customFormat="1" ht="24" x14ac:dyDescent="0.2">
      <c r="A94" s="180"/>
      <c r="B94" s="180" t="s">
        <v>167</v>
      </c>
      <c r="C94" s="180">
        <v>9868</v>
      </c>
      <c r="D94" s="181" t="s">
        <v>324</v>
      </c>
      <c r="E94" s="180" t="s">
        <v>154</v>
      </c>
      <c r="F94" s="182">
        <v>1.5980000000000001</v>
      </c>
      <c r="G94" s="183">
        <v>3.42</v>
      </c>
      <c r="H94" s="184">
        <f t="shared" si="1"/>
        <v>5.46516</v>
      </c>
      <c r="I94" s="67"/>
    </row>
    <row r="95" spans="1:10" s="66" customFormat="1" ht="24" x14ac:dyDescent="0.2">
      <c r="A95" s="180"/>
      <c r="B95" s="180" t="s">
        <v>166</v>
      </c>
      <c r="C95" s="180">
        <v>88267</v>
      </c>
      <c r="D95" s="181" t="s">
        <v>322</v>
      </c>
      <c r="E95" s="180" t="s">
        <v>156</v>
      </c>
      <c r="F95" s="182">
        <v>1.2749999999999999</v>
      </c>
      <c r="G95" s="183">
        <f>$E$15</f>
        <v>23.96</v>
      </c>
      <c r="H95" s="184">
        <f>F95*G95</f>
        <v>30.548999999999999</v>
      </c>
      <c r="I95" s="67"/>
    </row>
    <row r="96" spans="1:10" s="66" customFormat="1" x14ac:dyDescent="0.2">
      <c r="A96" s="180"/>
      <c r="B96" s="180" t="s">
        <v>166</v>
      </c>
      <c r="C96" s="180">
        <v>88316</v>
      </c>
      <c r="D96" s="181" t="s">
        <v>160</v>
      </c>
      <c r="E96" s="180" t="s">
        <v>156</v>
      </c>
      <c r="F96" s="188">
        <v>1.41</v>
      </c>
      <c r="G96" s="184">
        <f>$E$14</f>
        <v>17</v>
      </c>
      <c r="H96" s="183">
        <f>F96*G96</f>
        <v>23.97</v>
      </c>
      <c r="I96" s="67"/>
    </row>
    <row r="97" spans="1:10" s="66" customFormat="1" ht="15" x14ac:dyDescent="0.25">
      <c r="A97" s="185"/>
      <c r="B97" s="185"/>
      <c r="C97" s="185"/>
      <c r="D97" s="185"/>
      <c r="E97" s="185"/>
      <c r="F97" s="186"/>
      <c r="G97" s="187" t="s">
        <v>14</v>
      </c>
      <c r="H97" s="187">
        <f>SUM(H92:H96)</f>
        <v>69.737399999999994</v>
      </c>
      <c r="I97" s="67"/>
    </row>
    <row r="101" spans="1:10" s="66" customFormat="1" ht="24" x14ac:dyDescent="0.2">
      <c r="A101" s="178" t="str">
        <f>SERVIÇOS!A134</f>
        <v>6.1.12</v>
      </c>
      <c r="B101" s="193"/>
      <c r="C101" s="193" t="s">
        <v>348</v>
      </c>
      <c r="D101" s="194" t="s">
        <v>350</v>
      </c>
      <c r="E101" s="193" t="s">
        <v>2</v>
      </c>
      <c r="F101" s="178" t="s">
        <v>163</v>
      </c>
      <c r="G101" s="178" t="s">
        <v>164</v>
      </c>
      <c r="H101" s="178" t="s">
        <v>165</v>
      </c>
      <c r="I101" s="67"/>
    </row>
    <row r="102" spans="1:10" s="66" customFormat="1" ht="24" x14ac:dyDescent="0.2">
      <c r="A102" s="180"/>
      <c r="B102" s="180" t="s">
        <v>338</v>
      </c>
      <c r="C102" s="180">
        <v>88261</v>
      </c>
      <c r="D102" s="181" t="s">
        <v>339</v>
      </c>
      <c r="E102" s="188" t="s">
        <v>156</v>
      </c>
      <c r="F102" s="188">
        <v>1</v>
      </c>
      <c r="G102" s="183">
        <f>$E$16</f>
        <v>24.27</v>
      </c>
      <c r="H102" s="183">
        <f>F102*G102</f>
        <v>24.27</v>
      </c>
    </row>
    <row r="103" spans="1:10" ht="18" x14ac:dyDescent="0.2">
      <c r="A103" s="223"/>
      <c r="B103" s="224"/>
      <c r="C103" s="224"/>
      <c r="D103" s="224"/>
      <c r="E103" s="224"/>
      <c r="F103" s="224"/>
      <c r="G103" s="187" t="s">
        <v>14</v>
      </c>
      <c r="H103" s="187">
        <f>SUM(H102:H102)</f>
        <v>24.27</v>
      </c>
      <c r="I103" s="66"/>
      <c r="J103" s="66"/>
    </row>
    <row r="104" spans="1:10" x14ac:dyDescent="0.2">
      <c r="G104" s="17"/>
      <c r="H104" s="17"/>
      <c r="I104" s="66"/>
      <c r="J104" s="66"/>
    </row>
    <row r="105" spans="1:10" s="66" customFormat="1" x14ac:dyDescent="0.2">
      <c r="G105" s="25"/>
      <c r="H105" s="25"/>
      <c r="I105" s="67"/>
    </row>
    <row r="106" spans="1:10" s="66" customFormat="1" x14ac:dyDescent="0.2">
      <c r="G106" s="25"/>
      <c r="H106" s="25"/>
      <c r="I106" s="67"/>
    </row>
    <row r="107" spans="1:10" s="66" customFormat="1" ht="24" x14ac:dyDescent="0.2">
      <c r="A107" s="178" t="str">
        <f>SERVIÇOS!A159</f>
        <v>6.6.3</v>
      </c>
      <c r="B107" s="193"/>
      <c r="C107" s="193" t="s">
        <v>348</v>
      </c>
      <c r="D107" s="194" t="s">
        <v>351</v>
      </c>
      <c r="E107" s="193" t="s">
        <v>2</v>
      </c>
      <c r="F107" s="178" t="s">
        <v>163</v>
      </c>
      <c r="G107" s="178" t="s">
        <v>164</v>
      </c>
      <c r="H107" s="178" t="s">
        <v>165</v>
      </c>
      <c r="I107" s="67"/>
    </row>
    <row r="108" spans="1:10" s="66" customFormat="1" ht="24" x14ac:dyDescent="0.2">
      <c r="A108" s="180"/>
      <c r="B108" s="180" t="s">
        <v>338</v>
      </c>
      <c r="C108" s="180">
        <v>88261</v>
      </c>
      <c r="D108" s="181" t="s">
        <v>339</v>
      </c>
      <c r="E108" s="188" t="s">
        <v>156</v>
      </c>
      <c r="F108" s="188">
        <v>1</v>
      </c>
      <c r="G108" s="183">
        <f>$E$16</f>
        <v>24.27</v>
      </c>
      <c r="H108" s="183">
        <f>F108*G108</f>
        <v>24.27</v>
      </c>
    </row>
    <row r="109" spans="1:10" ht="18" x14ac:dyDescent="0.2">
      <c r="A109" s="223"/>
      <c r="B109" s="224"/>
      <c r="C109" s="224"/>
      <c r="D109" s="224"/>
      <c r="E109" s="224"/>
      <c r="F109" s="224"/>
      <c r="G109" s="187" t="s">
        <v>14</v>
      </c>
      <c r="H109" s="187">
        <f>SUM(H108:H108)</f>
        <v>24.27</v>
      </c>
      <c r="I109" s="66"/>
      <c r="J109" s="66"/>
    </row>
    <row r="113" spans="1:9" s="66" customFormat="1" ht="24" x14ac:dyDescent="0.2">
      <c r="A113" s="178" t="str">
        <f>SERVIÇOS!A177</f>
        <v>7.3.1.1</v>
      </c>
      <c r="B113" s="178"/>
      <c r="C113" s="178" t="s">
        <v>266</v>
      </c>
      <c r="D113" s="179" t="s">
        <v>203</v>
      </c>
      <c r="E113" s="178" t="s">
        <v>154</v>
      </c>
      <c r="F113" s="178" t="s">
        <v>163</v>
      </c>
      <c r="G113" s="178" t="s">
        <v>164</v>
      </c>
      <c r="H113" s="178" t="s">
        <v>165</v>
      </c>
      <c r="I113" s="67"/>
    </row>
    <row r="114" spans="1:9" s="66" customFormat="1" x14ac:dyDescent="0.2">
      <c r="A114" s="180"/>
      <c r="B114" s="180" t="s">
        <v>166</v>
      </c>
      <c r="C114" s="180">
        <v>88309</v>
      </c>
      <c r="D114" s="181" t="s">
        <v>162</v>
      </c>
      <c r="E114" s="180" t="s">
        <v>156</v>
      </c>
      <c r="F114" s="182">
        <v>0.25</v>
      </c>
      <c r="G114" s="183">
        <f>$E$13</f>
        <v>24.45</v>
      </c>
      <c r="H114" s="184">
        <f>G114*F114</f>
        <v>6.1124999999999998</v>
      </c>
      <c r="I114" s="67"/>
    </row>
    <row r="115" spans="1:9" s="66" customFormat="1" ht="15" x14ac:dyDescent="0.25">
      <c r="A115" s="185"/>
      <c r="B115" s="185"/>
      <c r="C115" s="185"/>
      <c r="D115" s="185"/>
      <c r="E115" s="185"/>
      <c r="F115" s="186"/>
      <c r="G115" s="187" t="s">
        <v>14</v>
      </c>
      <c r="H115" s="187">
        <f>SUM(H114:H114)</f>
        <v>6.1124999999999998</v>
      </c>
      <c r="I115" s="67"/>
    </row>
    <row r="116" spans="1:9" s="66" customFormat="1" x14ac:dyDescent="0.2">
      <c r="G116" s="25"/>
      <c r="H116" s="25"/>
      <c r="I116" s="67"/>
    </row>
    <row r="117" spans="1:9" s="66" customFormat="1" x14ac:dyDescent="0.2">
      <c r="G117" s="25"/>
      <c r="H117" s="25"/>
      <c r="I117" s="67"/>
    </row>
  </sheetData>
  <mergeCells count="13">
    <mergeCell ref="A11:H11"/>
    <mergeCell ref="A1:E1"/>
    <mergeCell ref="A2:E2"/>
    <mergeCell ref="A3:E3"/>
    <mergeCell ref="E5:F5"/>
    <mergeCell ref="A6:D6"/>
    <mergeCell ref="E6:F6"/>
    <mergeCell ref="A7:C7"/>
    <mergeCell ref="E7:F7"/>
    <mergeCell ref="G7:H7"/>
    <mergeCell ref="A8:D8"/>
    <mergeCell ref="E8:F8"/>
    <mergeCell ref="G8:H8"/>
  </mergeCells>
  <conditionalFormatting sqref="F30:H30 C31:D31 C32:F32 C38:D39 A78:A80 A75:E75 E78 G75:H75 B76:B78 B76:E77 F75:F76 C78:D80 C93:D96 F91:H91 B92:D92 C86:F86 A85 F85:H85 C69:D69 A68 F68:H68 C70:F70 F61:H61 C63:E63 F113:H113 C114:D114 C19:E20">
    <cfRule type="expression" dxfId="133" priority="1275" stopIfTrue="1">
      <formula>AND($A19&lt;&gt;"COMPOSICAO",$A19&lt;&gt;"INSUMO",$A19&lt;&gt;"")</formula>
    </cfRule>
    <cfRule type="expression" dxfId="132" priority="1276" stopIfTrue="1">
      <formula>AND(OR($A19="COMPOSICAO",$A19="INSUMO",$A19&lt;&gt;""),$A19&lt;&gt;"")</formula>
    </cfRule>
  </conditionalFormatting>
  <conditionalFormatting sqref="A76:A77">
    <cfRule type="expression" dxfId="131" priority="985" stopIfTrue="1">
      <formula>AND($B76&lt;&gt;"COMPOSICAO",$B76&lt;&gt;"INSUMO",$B76&lt;&gt;"")</formula>
    </cfRule>
    <cfRule type="expression" dxfId="130" priority="986" stopIfTrue="1">
      <formula>AND(OR($B76="COMPOSICAO",$B76="INSUMO",$B76&lt;&gt;""),$B76&lt;&gt;"")</formula>
    </cfRule>
  </conditionalFormatting>
  <conditionalFormatting sqref="E30 B85:E85 B68:E68 E61">
    <cfRule type="expression" dxfId="129" priority="455" stopIfTrue="1">
      <formula>AND($A30&lt;&gt;"COMPOSICAO",$A30&lt;&gt;"INSUMO",$A30&lt;&gt;"")</formula>
    </cfRule>
    <cfRule type="expression" dxfId="128" priority="456" stopIfTrue="1">
      <formula>AND(OR($A30="COMPOSICAO",$A30="INSUMO",$A30&lt;&gt;""),$A30&lt;&gt;"")</formula>
    </cfRule>
  </conditionalFormatting>
  <conditionalFormatting sqref="C13:E14">
    <cfRule type="expression" dxfId="127" priority="269" stopIfTrue="1">
      <formula>AND($A13&lt;&gt;"COMPOSICAO",$A13&lt;&gt;"INSUMO",$A13&lt;&gt;"")</formula>
    </cfRule>
    <cfRule type="expression" dxfId="126" priority="270" stopIfTrue="1">
      <formula>AND(OR($A13="COMPOSICAO",$A13="INSUMO",$A13&lt;&gt;""),$A13&lt;&gt;"")</formula>
    </cfRule>
  </conditionalFormatting>
  <conditionalFormatting sqref="A24 H24">
    <cfRule type="expression" dxfId="125" priority="237" stopIfTrue="1">
      <formula>AND($A24&lt;&gt;"COMPOSICAO",$A24&lt;&gt;"INSUMO",$A24&lt;&gt;"")</formula>
    </cfRule>
    <cfRule type="expression" dxfId="124" priority="238" stopIfTrue="1">
      <formula>AND(OR($A24="COMPOSICAO",$A24="INSUMO",$A24&lt;&gt;""),$A24&lt;&gt;"")</formula>
    </cfRule>
  </conditionalFormatting>
  <conditionalFormatting sqref="C25:D25">
    <cfRule type="expression" dxfId="123" priority="227" stopIfTrue="1">
      <formula>AND($A25&lt;&gt;"COMPOSICAO",$A25&lt;&gt;"INSUMO",$A25&lt;&gt;"")</formula>
    </cfRule>
    <cfRule type="expression" dxfId="122" priority="228" stopIfTrue="1">
      <formula>AND(OR($A25="COMPOSICAO",$A25="INSUMO",$A25&lt;&gt;""),$A25&lt;&gt;"")</formula>
    </cfRule>
  </conditionalFormatting>
  <conditionalFormatting sqref="F24">
    <cfRule type="expression" dxfId="121" priority="229" stopIfTrue="1">
      <formula>AND($A24&lt;&gt;"COMPOSICAO",$A24&lt;&gt;"INSUMO",$A24&lt;&gt;"")</formula>
    </cfRule>
    <cfRule type="expression" dxfId="120" priority="230" stopIfTrue="1">
      <formula>AND(OR($A24="COMPOSICAO",$A24="INSUMO",$A24&lt;&gt;""),$A24&lt;&gt;"")</formula>
    </cfRule>
  </conditionalFormatting>
  <conditionalFormatting sqref="G26:H26">
    <cfRule type="expression" dxfId="119" priority="235" stopIfTrue="1">
      <formula>AND($B26&lt;&gt;"COMPOSICAO",$B26&lt;&gt;"INSUMO",$B26&lt;&gt;"")</formula>
    </cfRule>
    <cfRule type="expression" dxfId="118" priority="236" stopIfTrue="1">
      <formula>AND(OR($B26="COMPOSICAO",$B26="INSUMO",$B26&lt;&gt;""),$B26&lt;&gt;"")</formula>
    </cfRule>
  </conditionalFormatting>
  <conditionalFormatting sqref="B24:E24">
    <cfRule type="expression" dxfId="117" priority="233" stopIfTrue="1">
      <formula>AND($A24&lt;&gt;"COMPOSICAO",$A24&lt;&gt;"INSUMO",$A24&lt;&gt;"")</formula>
    </cfRule>
    <cfRule type="expression" dxfId="116" priority="234" stopIfTrue="1">
      <formula>AND(OR($A24="COMPOSICAO",$A24="INSUMO",$A24&lt;&gt;""),$A24&lt;&gt;"")</formula>
    </cfRule>
  </conditionalFormatting>
  <conditionalFormatting sqref="G24">
    <cfRule type="expression" dxfId="115" priority="231" stopIfTrue="1">
      <formula>AND($A24&lt;&gt;"COMPOSICAO",$A24&lt;&gt;"INSUMO",$A24&lt;&gt;"")</formula>
    </cfRule>
    <cfRule type="expression" dxfId="114" priority="232" stopIfTrue="1">
      <formula>AND(OR($A24="COMPOSICAO",$A24="INSUMO",$A24&lt;&gt;""),$A24&lt;&gt;"")</formula>
    </cfRule>
  </conditionalFormatting>
  <conditionalFormatting sqref="C15:D15">
    <cfRule type="expression" dxfId="113" priority="213" stopIfTrue="1">
      <formula>AND($A15&lt;&gt;"COMPOSICAO",$A15&lt;&gt;"INSUMO",$A15&lt;&gt;"")</formula>
    </cfRule>
    <cfRule type="expression" dxfId="112" priority="214" stopIfTrue="1">
      <formula>AND(OR($A15="COMPOSICAO",$A15="INSUMO",$A15&lt;&gt;""),$A15&lt;&gt;"")</formula>
    </cfRule>
  </conditionalFormatting>
  <conditionalFormatting sqref="E15">
    <cfRule type="expression" dxfId="111" priority="211" stopIfTrue="1">
      <formula>AND($A15&lt;&gt;"COMPOSICAO",$A15&lt;&gt;"INSUMO",$A15&lt;&gt;"")</formula>
    </cfRule>
    <cfRule type="expression" dxfId="110" priority="212" stopIfTrue="1">
      <formula>AND(OR($A15="COMPOSICAO",$A15="INSUMO",$A15&lt;&gt;""),$A15&lt;&gt;"")</formula>
    </cfRule>
  </conditionalFormatting>
  <conditionalFormatting sqref="C16:D17">
    <cfRule type="expression" dxfId="109" priority="191" stopIfTrue="1">
      <formula>AND($A16&lt;&gt;"COMPOSICAO",$A16&lt;&gt;"INSUMO",$A16&lt;&gt;"")</formula>
    </cfRule>
    <cfRule type="expression" dxfId="108" priority="192" stopIfTrue="1">
      <formula>AND(OR($A16="COMPOSICAO",$A16="INSUMO",$A16&lt;&gt;""),$A16&lt;&gt;"")</formula>
    </cfRule>
  </conditionalFormatting>
  <conditionalFormatting sqref="E16:E17">
    <cfRule type="expression" dxfId="107" priority="189" stopIfTrue="1">
      <formula>AND($A16&lt;&gt;"COMPOSICAO",$A16&lt;&gt;"INSUMO",$A16&lt;&gt;"")</formula>
    </cfRule>
    <cfRule type="expression" dxfId="106" priority="190" stopIfTrue="1">
      <formula>AND(OR($A16="COMPOSICAO",$A16="INSUMO",$A16&lt;&gt;""),$A16&lt;&gt;"")</formula>
    </cfRule>
  </conditionalFormatting>
  <conditionalFormatting sqref="C41:D41">
    <cfRule type="expression" dxfId="105" priority="175" stopIfTrue="1">
      <formula>AND($A41&lt;&gt;"COMPOSICAO",$A41&lt;&gt;"INSUMO",$A41&lt;&gt;"")</formula>
    </cfRule>
    <cfRule type="expression" dxfId="104" priority="176" stopIfTrue="1">
      <formula>AND(OR($A41="COMPOSICAO",$A41="INSUMO",$A41&lt;&gt;""),$A41&lt;&gt;"")</formula>
    </cfRule>
  </conditionalFormatting>
  <conditionalFormatting sqref="F41">
    <cfRule type="expression" dxfId="103" priority="177" stopIfTrue="1">
      <formula>AND($A41&lt;&gt;"COMPOSICAO",$A41&lt;&gt;"INSUMO",$A41&lt;&gt;"")</formula>
    </cfRule>
    <cfRule type="expression" dxfId="102" priority="178" stopIfTrue="1">
      <formula>AND(OR($A41="COMPOSICAO",$A41="INSUMO",$A41&lt;&gt;""),$A41&lt;&gt;"")</formula>
    </cfRule>
  </conditionalFormatting>
  <conditionalFormatting sqref="A37 H37">
    <cfRule type="expression" dxfId="101" priority="185" stopIfTrue="1">
      <formula>AND($A37&lt;&gt;"COMPOSICAO",$A37&lt;&gt;"INSUMO",$A37&lt;&gt;"")</formula>
    </cfRule>
    <cfRule type="expression" dxfId="100" priority="186" stopIfTrue="1">
      <formula>AND(OR($A37="COMPOSICAO",$A37="INSUMO",$A37&lt;&gt;""),$A37&lt;&gt;"")</formula>
    </cfRule>
  </conditionalFormatting>
  <conditionalFormatting sqref="F37">
    <cfRule type="expression" dxfId="99" priority="179" stopIfTrue="1">
      <formula>AND($A37&lt;&gt;"COMPOSICAO",$A37&lt;&gt;"INSUMO",$A37&lt;&gt;"")</formula>
    </cfRule>
    <cfRule type="expression" dxfId="98" priority="180" stopIfTrue="1">
      <formula>AND(OR($A37="COMPOSICAO",$A37="INSUMO",$A37&lt;&gt;""),$A37&lt;&gt;"")</formula>
    </cfRule>
  </conditionalFormatting>
  <conditionalFormatting sqref="B37:E37">
    <cfRule type="expression" dxfId="97" priority="183" stopIfTrue="1">
      <formula>AND($A37&lt;&gt;"COMPOSICAO",$A37&lt;&gt;"INSUMO",$A37&lt;&gt;"")</formula>
    </cfRule>
    <cfRule type="expression" dxfId="96" priority="184" stopIfTrue="1">
      <formula>AND(OR($A37="COMPOSICAO",$A37="INSUMO",$A37&lt;&gt;""),$A37&lt;&gt;"")</formula>
    </cfRule>
  </conditionalFormatting>
  <conditionalFormatting sqref="G37">
    <cfRule type="expression" dxfId="95" priority="181" stopIfTrue="1">
      <formula>AND($A37&lt;&gt;"COMPOSICAO",$A37&lt;&gt;"INSUMO",$A37&lt;&gt;"")</formula>
    </cfRule>
    <cfRule type="expression" dxfId="94" priority="182" stopIfTrue="1">
      <formula>AND(OR($A37="COMPOSICAO",$A37="INSUMO",$A37&lt;&gt;""),$A37&lt;&gt;"")</formula>
    </cfRule>
  </conditionalFormatting>
  <conditionalFormatting sqref="E38">
    <cfRule type="expression" dxfId="93" priority="171" stopIfTrue="1">
      <formula>AND($A38&lt;&gt;"COMPOSICAO",$A38&lt;&gt;"INSUMO",$A38&lt;&gt;"")</formula>
    </cfRule>
    <cfRule type="expression" dxfId="92" priority="172" stopIfTrue="1">
      <formula>AND(OR($A38="COMPOSICAO",$A38="INSUMO",$A38&lt;&gt;""),$A38&lt;&gt;"")</formula>
    </cfRule>
  </conditionalFormatting>
  <conditionalFormatting sqref="E39">
    <cfRule type="expression" dxfId="91" priority="173" stopIfTrue="1">
      <formula>AND($A39&lt;&gt;"COMPOSICAO",$A39&lt;&gt;"INSUMO",$A39&lt;&gt;"")</formula>
    </cfRule>
    <cfRule type="expression" dxfId="90" priority="174" stopIfTrue="1">
      <formula>AND(OR($A39="COMPOSICAO",$A39="INSUMO",$A39&lt;&gt;""),$A39&lt;&gt;"")</formula>
    </cfRule>
  </conditionalFormatting>
  <conditionalFormatting sqref="C40:D40">
    <cfRule type="expression" dxfId="89" priority="167" stopIfTrue="1">
      <formula>AND($A40&lt;&gt;"COMPOSICAO",$A40&lt;&gt;"INSUMO",$A40&lt;&gt;"")</formula>
    </cfRule>
    <cfRule type="expression" dxfId="88" priority="168" stopIfTrue="1">
      <formula>AND(OR($A40="COMPOSICAO",$A40="INSUMO",$A40&lt;&gt;""),$A40&lt;&gt;"")</formula>
    </cfRule>
  </conditionalFormatting>
  <conditionalFormatting sqref="E40:F40">
    <cfRule type="expression" dxfId="87" priority="169" stopIfTrue="1">
      <formula>AND($A40&lt;&gt;"COMPOSICAO",$A40&lt;&gt;"INSUMO",$A40&lt;&gt;"")</formula>
    </cfRule>
    <cfRule type="expression" dxfId="86" priority="170" stopIfTrue="1">
      <formula>AND(OR($A40="COMPOSICAO",$A40="INSUMO",$A40&lt;&gt;""),$A40&lt;&gt;"")</formula>
    </cfRule>
  </conditionalFormatting>
  <conditionalFormatting sqref="E41">
    <cfRule type="expression" dxfId="85" priority="155" stopIfTrue="1">
      <formula>AND($A41&lt;&gt;"COMPOSICAO",$A41&lt;&gt;"INSUMO",$A41&lt;&gt;"")</formula>
    </cfRule>
    <cfRule type="expression" dxfId="84" priority="156" stopIfTrue="1">
      <formula>AND(OR($A41="COMPOSICAO",$A41="INSUMO",$A41&lt;&gt;""),$A41&lt;&gt;"")</formula>
    </cfRule>
  </conditionalFormatting>
  <conditionalFormatting sqref="C18:D18">
    <cfRule type="expression" dxfId="83" priority="149" stopIfTrue="1">
      <formula>AND($A18&lt;&gt;"COMPOSICAO",$A18&lt;&gt;"INSUMO",$A18&lt;&gt;"")</formula>
    </cfRule>
    <cfRule type="expression" dxfId="82" priority="150" stopIfTrue="1">
      <formula>AND(OR($A18="COMPOSICAO",$A18="INSUMO",$A18&lt;&gt;""),$A18&lt;&gt;"")</formula>
    </cfRule>
  </conditionalFormatting>
  <conditionalFormatting sqref="E18">
    <cfRule type="expression" dxfId="81" priority="147" stopIfTrue="1">
      <formula>AND($A18&lt;&gt;"COMPOSICAO",$A18&lt;&gt;"INSUMO",$A18&lt;&gt;"")</formula>
    </cfRule>
    <cfRule type="expression" dxfId="80" priority="148" stopIfTrue="1">
      <formula>AND(OR($A18="COMPOSICAO",$A18="INSUMO",$A18&lt;&gt;""),$A18&lt;&gt;"")</formula>
    </cfRule>
  </conditionalFormatting>
  <conditionalFormatting sqref="G107">
    <cfRule type="expression" dxfId="79" priority="115" stopIfTrue="1">
      <formula>AND($A107&lt;&gt;"COMPOSICAO",$A107&lt;&gt;"INSUMO",$A107&lt;&gt;"")</formula>
    </cfRule>
    <cfRule type="expression" dxfId="78" priority="116" stopIfTrue="1">
      <formula>AND(OR($A107="COMPOSICAO",$A107="INSUMO",$A107&lt;&gt;""),$A107&lt;&gt;"")</formula>
    </cfRule>
  </conditionalFormatting>
  <conditionalFormatting sqref="E108:F108">
    <cfRule type="expression" dxfId="77" priority="97" stopIfTrue="1">
      <formula>AND($A108&lt;&gt;"COMPOSICAO",$A108&lt;&gt;"INSUMO",$A108&lt;&gt;"")</formula>
    </cfRule>
    <cfRule type="expression" dxfId="76" priority="98" stopIfTrue="1">
      <formula>AND(OR($A108="COMPOSICAO",$A108="INSUMO",$A108&lt;&gt;""),$A108&lt;&gt;"")</formula>
    </cfRule>
  </conditionalFormatting>
  <conditionalFormatting sqref="C108:D108">
    <cfRule type="expression" dxfId="75" priority="95" stopIfTrue="1">
      <formula>AND($A108&lt;&gt;"COMPOSICAO",$A108&lt;&gt;"INSUMO",$A108&lt;&gt;"")</formula>
    </cfRule>
    <cfRule type="expression" dxfId="74" priority="96" stopIfTrue="1">
      <formula>AND(OR($A108="COMPOSICAO",$A108="INSUMO",$A108&lt;&gt;""),$A108&lt;&gt;"")</formula>
    </cfRule>
  </conditionalFormatting>
  <conditionalFormatting sqref="A107 H107">
    <cfRule type="expression" dxfId="73" priority="119" stopIfTrue="1">
      <formula>AND($A107&lt;&gt;"COMPOSICAO",$A107&lt;&gt;"INSUMO",$A107&lt;&gt;"")</formula>
    </cfRule>
    <cfRule type="expression" dxfId="72" priority="120" stopIfTrue="1">
      <formula>AND(OR($A107="COMPOSICAO",$A107="INSUMO",$A107&lt;&gt;""),$A107&lt;&gt;"")</formula>
    </cfRule>
  </conditionalFormatting>
  <conditionalFormatting sqref="F107">
    <cfRule type="expression" dxfId="71" priority="113" stopIfTrue="1">
      <formula>AND($A107&lt;&gt;"COMPOSICAO",$A107&lt;&gt;"INSUMO",$A107&lt;&gt;"")</formula>
    </cfRule>
    <cfRule type="expression" dxfId="70" priority="114" stopIfTrue="1">
      <formula>AND(OR($A107="COMPOSICAO",$A107="INSUMO",$A107&lt;&gt;""),$A107&lt;&gt;"")</formula>
    </cfRule>
  </conditionalFormatting>
  <conditionalFormatting sqref="B107:E107">
    <cfRule type="expression" dxfId="69" priority="117" stopIfTrue="1">
      <formula>AND($A107&lt;&gt;"COMPOSICAO",$A107&lt;&gt;"INSUMO",$A107&lt;&gt;"")</formula>
    </cfRule>
    <cfRule type="expression" dxfId="68" priority="118" stopIfTrue="1">
      <formula>AND(OR($A107="COMPOSICAO",$A107="INSUMO",$A107&lt;&gt;""),$A107&lt;&gt;"")</formula>
    </cfRule>
  </conditionalFormatting>
  <conditionalFormatting sqref="A101 H101">
    <cfRule type="expression" dxfId="67" priority="93" stopIfTrue="1">
      <formula>AND($A101&lt;&gt;"COMPOSICAO",$A101&lt;&gt;"INSUMO",$A101&lt;&gt;"")</formula>
    </cfRule>
    <cfRule type="expression" dxfId="66" priority="94" stopIfTrue="1">
      <formula>AND(OR($A101="COMPOSICAO",$A101="INSUMO",$A101&lt;&gt;""),$A101&lt;&gt;"")</formula>
    </cfRule>
  </conditionalFormatting>
  <conditionalFormatting sqref="F101">
    <cfRule type="expression" dxfId="65" priority="87" stopIfTrue="1">
      <formula>AND($A101&lt;&gt;"COMPOSICAO",$A101&lt;&gt;"INSUMO",$A101&lt;&gt;"")</formula>
    </cfRule>
    <cfRule type="expression" dxfId="64" priority="88" stopIfTrue="1">
      <formula>AND(OR($A101="COMPOSICAO",$A101="INSUMO",$A101&lt;&gt;""),$A101&lt;&gt;"")</formula>
    </cfRule>
  </conditionalFormatting>
  <conditionalFormatting sqref="B101:E101">
    <cfRule type="expression" dxfId="63" priority="91" stopIfTrue="1">
      <formula>AND($A101&lt;&gt;"COMPOSICAO",$A101&lt;&gt;"INSUMO",$A101&lt;&gt;"")</formula>
    </cfRule>
    <cfRule type="expression" dxfId="62" priority="92" stopIfTrue="1">
      <formula>AND(OR($A101="COMPOSICAO",$A101="INSUMO",$A101&lt;&gt;""),$A101&lt;&gt;"")</formula>
    </cfRule>
  </conditionalFormatting>
  <conditionalFormatting sqref="G101">
    <cfRule type="expression" dxfId="61" priority="89" stopIfTrue="1">
      <formula>AND($A101&lt;&gt;"COMPOSICAO",$A101&lt;&gt;"INSUMO",$A101&lt;&gt;"")</formula>
    </cfRule>
    <cfRule type="expression" dxfId="60" priority="90" stopIfTrue="1">
      <formula>AND(OR($A101="COMPOSICAO",$A101="INSUMO",$A101&lt;&gt;""),$A101&lt;&gt;"")</formula>
    </cfRule>
  </conditionalFormatting>
  <conditionalFormatting sqref="E102:F102">
    <cfRule type="expression" dxfId="59" priority="85" stopIfTrue="1">
      <formula>AND($A102&lt;&gt;"COMPOSICAO",$A102&lt;&gt;"INSUMO",$A102&lt;&gt;"")</formula>
    </cfRule>
    <cfRule type="expression" dxfId="58" priority="86" stopIfTrue="1">
      <formula>AND(OR($A102="COMPOSICAO",$A102="INSUMO",$A102&lt;&gt;""),$A102&lt;&gt;"")</formula>
    </cfRule>
  </conditionalFormatting>
  <conditionalFormatting sqref="C102:D102">
    <cfRule type="expression" dxfId="57" priority="83" stopIfTrue="1">
      <formula>AND($A102&lt;&gt;"COMPOSICAO",$A102&lt;&gt;"INSUMO",$A102&lt;&gt;"")</formula>
    </cfRule>
    <cfRule type="expression" dxfId="56" priority="84" stopIfTrue="1">
      <formula>AND(OR($A102="COMPOSICAO",$A102="INSUMO",$A102&lt;&gt;""),$A102&lt;&gt;"")</formula>
    </cfRule>
  </conditionalFormatting>
  <conditionalFormatting sqref="C47:D48">
    <cfRule type="expression" dxfId="55" priority="81" stopIfTrue="1">
      <formula>AND($A47&lt;&gt;"COMPOSICAO",$A47&lt;&gt;"INSUMO",$A47&lt;&gt;"")</formula>
    </cfRule>
    <cfRule type="expression" dxfId="54" priority="82" stopIfTrue="1">
      <formula>AND(OR($A47="COMPOSICAO",$A47="INSUMO",$A47&lt;&gt;""),$A47&lt;&gt;"")</formula>
    </cfRule>
  </conditionalFormatting>
  <conditionalFormatting sqref="A46 H46">
    <cfRule type="expression" dxfId="53" priority="79" stopIfTrue="1">
      <formula>AND($A46&lt;&gt;"COMPOSICAO",$A46&lt;&gt;"INSUMO",$A46&lt;&gt;"")</formula>
    </cfRule>
    <cfRule type="expression" dxfId="52" priority="80" stopIfTrue="1">
      <formula>AND(OR($A46="COMPOSICAO",$A46="INSUMO",$A46&lt;&gt;""),$A46&lt;&gt;"")</formula>
    </cfRule>
  </conditionalFormatting>
  <conditionalFormatting sqref="F46">
    <cfRule type="expression" dxfId="51" priority="73" stopIfTrue="1">
      <formula>AND($A46&lt;&gt;"COMPOSICAO",$A46&lt;&gt;"INSUMO",$A46&lt;&gt;"")</formula>
    </cfRule>
    <cfRule type="expression" dxfId="50" priority="74" stopIfTrue="1">
      <formula>AND(OR($A46="COMPOSICAO",$A46="INSUMO",$A46&lt;&gt;""),$A46&lt;&gt;"")</formula>
    </cfRule>
  </conditionalFormatting>
  <conditionalFormatting sqref="B46:E46">
    <cfRule type="expression" dxfId="49" priority="77" stopIfTrue="1">
      <formula>AND($A46&lt;&gt;"COMPOSICAO",$A46&lt;&gt;"INSUMO",$A46&lt;&gt;"")</formula>
    </cfRule>
    <cfRule type="expression" dxfId="48" priority="78" stopIfTrue="1">
      <formula>AND(OR($A46="COMPOSICAO",$A46="INSUMO",$A46&lt;&gt;""),$A46&lt;&gt;"")</formula>
    </cfRule>
  </conditionalFormatting>
  <conditionalFormatting sqref="G46">
    <cfRule type="expression" dxfId="47" priority="75" stopIfTrue="1">
      <formula>AND($A46&lt;&gt;"COMPOSICAO",$A46&lt;&gt;"INSUMO",$A46&lt;&gt;"")</formula>
    </cfRule>
    <cfRule type="expression" dxfId="46" priority="76" stopIfTrue="1">
      <formula>AND(OR($A46="COMPOSICAO",$A46="INSUMO",$A46&lt;&gt;""),$A46&lt;&gt;"")</formula>
    </cfRule>
  </conditionalFormatting>
  <conditionalFormatting sqref="E47">
    <cfRule type="expression" dxfId="45" priority="65" stopIfTrue="1">
      <formula>AND($A47&lt;&gt;"COMPOSICAO",$A47&lt;&gt;"INSUMO",$A47&lt;&gt;"")</formula>
    </cfRule>
    <cfRule type="expression" dxfId="44" priority="66" stopIfTrue="1">
      <formula>AND(OR($A47="COMPOSICAO",$A47="INSUMO",$A47&lt;&gt;""),$A47&lt;&gt;"")</formula>
    </cfRule>
  </conditionalFormatting>
  <conditionalFormatting sqref="E48">
    <cfRule type="expression" dxfId="43" priority="67" stopIfTrue="1">
      <formula>AND($A48&lt;&gt;"COMPOSICAO",$A48&lt;&gt;"INSUMO",$A48&lt;&gt;"")</formula>
    </cfRule>
    <cfRule type="expression" dxfId="42" priority="68" stopIfTrue="1">
      <formula>AND(OR($A48="COMPOSICAO",$A48="INSUMO",$A48&lt;&gt;""),$A48&lt;&gt;"")</formula>
    </cfRule>
  </conditionalFormatting>
  <conditionalFormatting sqref="F38:F39">
    <cfRule type="expression" dxfId="41" priority="57" stopIfTrue="1">
      <formula>AND($A38&lt;&gt;"COMPOSICAO",$A38&lt;&gt;"INSUMO",$A38&lt;&gt;"")</formula>
    </cfRule>
    <cfRule type="expression" dxfId="40" priority="58" stopIfTrue="1">
      <formula>AND(OR($A38="COMPOSICAO",$A38="INSUMO",$A38&lt;&gt;""),$A38&lt;&gt;"")</formula>
    </cfRule>
  </conditionalFormatting>
  <conditionalFormatting sqref="F47:F48">
    <cfRule type="expression" dxfId="39" priority="55" stopIfTrue="1">
      <formula>AND($A47&lt;&gt;"COMPOSICAO",$A47&lt;&gt;"INSUMO",$A47&lt;&gt;"")</formula>
    </cfRule>
    <cfRule type="expression" dxfId="38" priority="56" stopIfTrue="1">
      <formula>AND(OR($A47="COMPOSICAO",$A47="INSUMO",$A47&lt;&gt;""),$A47&lt;&gt;"")</formula>
    </cfRule>
  </conditionalFormatting>
  <conditionalFormatting sqref="C55:D55">
    <cfRule type="expression" dxfId="37" priority="53" stopIfTrue="1">
      <formula>AND($A55&lt;&gt;"COMPOSICAO",$A55&lt;&gt;"INSUMO",$A55&lt;&gt;"")</formula>
    </cfRule>
    <cfRule type="expression" dxfId="36" priority="54" stopIfTrue="1">
      <formula>AND(OR($A55="COMPOSICAO",$A55="INSUMO",$A55&lt;&gt;""),$A55&lt;&gt;"")</formula>
    </cfRule>
  </conditionalFormatting>
  <conditionalFormatting sqref="A53 H53">
    <cfRule type="expression" dxfId="35" priority="51" stopIfTrue="1">
      <formula>AND($A53&lt;&gt;"COMPOSICAO",$A53&lt;&gt;"INSUMO",$A53&lt;&gt;"")</formula>
    </cfRule>
    <cfRule type="expression" dxfId="34" priority="52" stopIfTrue="1">
      <formula>AND(OR($A53="COMPOSICAO",$A53="INSUMO",$A53&lt;&gt;""),$A53&lt;&gt;"")</formula>
    </cfRule>
  </conditionalFormatting>
  <conditionalFormatting sqref="F53">
    <cfRule type="expression" dxfId="33" priority="45" stopIfTrue="1">
      <formula>AND($A53&lt;&gt;"COMPOSICAO",$A53&lt;&gt;"INSUMO",$A53&lt;&gt;"")</formula>
    </cfRule>
    <cfRule type="expression" dxfId="32" priority="46" stopIfTrue="1">
      <formula>AND(OR($A53="COMPOSICAO",$A53="INSUMO",$A53&lt;&gt;""),$A53&lt;&gt;"")</formula>
    </cfRule>
  </conditionalFormatting>
  <conditionalFormatting sqref="B53:E53">
    <cfRule type="expression" dxfId="31" priority="49" stopIfTrue="1">
      <formula>AND($A53&lt;&gt;"COMPOSICAO",$A53&lt;&gt;"INSUMO",$A53&lt;&gt;"")</formula>
    </cfRule>
    <cfRule type="expression" dxfId="30" priority="50" stopIfTrue="1">
      <formula>AND(OR($A53="COMPOSICAO",$A53="INSUMO",$A53&lt;&gt;""),$A53&lt;&gt;"")</formula>
    </cfRule>
  </conditionalFormatting>
  <conditionalFormatting sqref="G53">
    <cfRule type="expression" dxfId="29" priority="47" stopIfTrue="1">
      <formula>AND($A53&lt;&gt;"COMPOSICAO",$A53&lt;&gt;"INSUMO",$A53&lt;&gt;"")</formula>
    </cfRule>
    <cfRule type="expression" dxfId="28" priority="48" stopIfTrue="1">
      <formula>AND(OR($A53="COMPOSICAO",$A53="INSUMO",$A53&lt;&gt;""),$A53&lt;&gt;"")</formula>
    </cfRule>
  </conditionalFormatting>
  <conditionalFormatting sqref="F55">
    <cfRule type="expression" dxfId="27" priority="35" stopIfTrue="1">
      <formula>AND($A55&lt;&gt;"COMPOSICAO",$A55&lt;&gt;"INSUMO",$A55&lt;&gt;"")</formula>
    </cfRule>
    <cfRule type="expression" dxfId="26" priority="36" stopIfTrue="1">
      <formula>AND(OR($A55="COMPOSICAO",$A55="INSUMO",$A55&lt;&gt;""),$A55&lt;&gt;"")</formula>
    </cfRule>
  </conditionalFormatting>
  <conditionalFormatting sqref="C56:D56">
    <cfRule type="expression" dxfId="25" priority="37" stopIfTrue="1">
      <formula>AND($A56&lt;&gt;"COMPOSICAO",$A56&lt;&gt;"INSUMO",$A56&lt;&gt;"")</formula>
    </cfRule>
    <cfRule type="expression" dxfId="24" priority="38" stopIfTrue="1">
      <formula>AND(OR($A56="COMPOSICAO",$A56="INSUMO",$A56&lt;&gt;""),$A56&lt;&gt;"")</formula>
    </cfRule>
  </conditionalFormatting>
  <conditionalFormatting sqref="E56:F56">
    <cfRule type="expression" dxfId="23" priority="39" stopIfTrue="1">
      <formula>AND($A56&lt;&gt;"COMPOSICAO",$A56&lt;&gt;"INSUMO",$A56&lt;&gt;"")</formula>
    </cfRule>
    <cfRule type="expression" dxfId="22" priority="40" stopIfTrue="1">
      <formula>AND(OR($A56="COMPOSICAO",$A56="INSUMO",$A56&lt;&gt;""),$A56&lt;&gt;"")</formula>
    </cfRule>
  </conditionalFormatting>
  <conditionalFormatting sqref="C54:D54">
    <cfRule type="expression" dxfId="21" priority="33" stopIfTrue="1">
      <formula>AND($A54&lt;&gt;"COMPOSICAO",$A54&lt;&gt;"INSUMO",$A54&lt;&gt;"")</formula>
    </cfRule>
    <cfRule type="expression" dxfId="20" priority="34" stopIfTrue="1">
      <formula>AND(OR($A54="COMPOSICAO",$A54="INSUMO",$A54&lt;&gt;""),$A54&lt;&gt;"")</formula>
    </cfRule>
  </conditionalFormatting>
  <conditionalFormatting sqref="C62:D62">
    <cfRule type="expression" dxfId="19" priority="15" stopIfTrue="1">
      <formula>AND($A62&lt;&gt;"COMPOSICAO",$A62&lt;&gt;"INSUMO",$A62&lt;&gt;"")</formula>
    </cfRule>
    <cfRule type="expression" dxfId="18" priority="16" stopIfTrue="1">
      <formula>AND(OR($A62="COMPOSICAO",$A62="INSUMO",$A62&lt;&gt;""),$A62&lt;&gt;"")</formula>
    </cfRule>
  </conditionalFormatting>
  <conditionalFormatting sqref="F54">
    <cfRule type="expression" dxfId="17" priority="13" stopIfTrue="1">
      <formula>AND($A54&lt;&gt;"COMPOSICAO",$A54&lt;&gt;"INSUMO",$A54&lt;&gt;"")</formula>
    </cfRule>
    <cfRule type="expression" dxfId="16" priority="14" stopIfTrue="1">
      <formula>AND(OR($A54="COMPOSICAO",$A54="INSUMO",$A54&lt;&gt;""),$A54&lt;&gt;"")</formula>
    </cfRule>
  </conditionalFormatting>
  <conditionalFormatting sqref="F31">
    <cfRule type="expression" dxfId="15" priority="11" stopIfTrue="1">
      <formula>AND($A31&lt;&gt;"COMPOSICAO",$A31&lt;&gt;"INSUMO",$A31&lt;&gt;"")</formula>
    </cfRule>
    <cfRule type="expression" dxfId="14" priority="12" stopIfTrue="1">
      <formula>AND(OR($A31="COMPOSICAO",$A31="INSUMO",$A31&lt;&gt;""),$A31&lt;&gt;"")</formula>
    </cfRule>
  </conditionalFormatting>
  <conditionalFormatting sqref="F62:F63">
    <cfRule type="expression" dxfId="13" priority="9" stopIfTrue="1">
      <formula>AND($A62&lt;&gt;"COMPOSICAO",$A62&lt;&gt;"INSUMO",$A62&lt;&gt;"")</formula>
    </cfRule>
    <cfRule type="expression" dxfId="12" priority="10" stopIfTrue="1">
      <formula>AND(OR($A62="COMPOSICAO",$A62="INSUMO",$A62&lt;&gt;""),$A62&lt;&gt;"")</formula>
    </cfRule>
  </conditionalFormatting>
  <conditionalFormatting sqref="F69">
    <cfRule type="expression" dxfId="11" priority="7" stopIfTrue="1">
      <formula>AND($A69&lt;&gt;"COMPOSICAO",$A69&lt;&gt;"INSUMO",$A69&lt;&gt;"")</formula>
    </cfRule>
    <cfRule type="expression" dxfId="10" priority="8" stopIfTrue="1">
      <formula>AND(OR($A69="COMPOSICAO",$A69="INSUMO",$A69&lt;&gt;""),$A69&lt;&gt;"")</formula>
    </cfRule>
  </conditionalFormatting>
  <conditionalFormatting sqref="F77:F80">
    <cfRule type="expression" dxfId="9" priority="5" stopIfTrue="1">
      <formula>AND($A77&lt;&gt;"COMPOSICAO",$A77&lt;&gt;"INSUMO",$A77&lt;&gt;"")</formula>
    </cfRule>
    <cfRule type="expression" dxfId="8" priority="6" stopIfTrue="1">
      <formula>AND(OR($A77="COMPOSICAO",$A77="INSUMO",$A77&lt;&gt;""),$A77&lt;&gt;"")</formula>
    </cfRule>
  </conditionalFormatting>
  <conditionalFormatting sqref="F93">
    <cfRule type="expression" dxfId="7" priority="3" stopIfTrue="1">
      <formula>AND($A93&lt;&gt;"COMPOSICAO",$A93&lt;&gt;"INSUMO",$A93&lt;&gt;"")</formula>
    </cfRule>
    <cfRule type="expression" dxfId="6" priority="4" stopIfTrue="1">
      <formula>AND(OR($A93="COMPOSICAO",$A93="INSUMO",$A93&lt;&gt;""),$A93&lt;&gt;"")</formula>
    </cfRule>
  </conditionalFormatting>
  <conditionalFormatting sqref="F96">
    <cfRule type="expression" dxfId="5" priority="1" stopIfTrue="1">
      <formula>AND($A96&lt;&gt;"COMPOSICAO",$A96&lt;&gt;"INSUMO",$A96&lt;&gt;"")</formula>
    </cfRule>
    <cfRule type="expression" dxfId="4" priority="2" stopIfTrue="1">
      <formula>AND(OR($A96="COMPOSICAO",$A96="INSUMO",$A96&lt;&gt;""),$A96&lt;&gt;"")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5" orientation="portrait" horizontalDpi="300" verticalDpi="300" r:id="rId1"/>
  <ignoredErrors>
    <ignoredError sqref="C47:C48" numberStoredAsText="1"/>
    <ignoredError sqref="H7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5"/>
  <sheetViews>
    <sheetView showZeros="0" view="pageBreakPreview" zoomScale="60" zoomScaleNormal="60" workbookViewId="0">
      <selection activeCell="C17" sqref="C17"/>
    </sheetView>
  </sheetViews>
  <sheetFormatPr defaultColWidth="11.42578125" defaultRowHeight="12.75" x14ac:dyDescent="0.25"/>
  <cols>
    <col min="1" max="1" width="10.85546875" style="358" customWidth="1"/>
    <col min="2" max="2" width="49.140625" style="51" customWidth="1"/>
    <col min="3" max="3" width="20" style="359" customWidth="1"/>
    <col min="4" max="4" width="12.140625" style="359" customWidth="1"/>
    <col min="5" max="5" width="20.140625" style="360" customWidth="1"/>
    <col min="6" max="6" width="20.140625" style="361" customWidth="1"/>
    <col min="7" max="7" width="13.28515625" style="51" customWidth="1"/>
    <col min="8" max="8" width="21.5703125" style="51" customWidth="1"/>
    <col min="9" max="9" width="13" style="51" customWidth="1"/>
    <col min="10" max="10" width="22" style="51" customWidth="1"/>
    <col min="11" max="11" width="13.42578125" style="51" customWidth="1"/>
    <col min="12" max="12" width="24.85546875" style="51" customWidth="1"/>
    <col min="13" max="13" width="5.7109375" style="51" customWidth="1"/>
    <col min="14" max="14" width="18.28515625" style="52" customWidth="1"/>
    <col min="15" max="15" width="11.42578125" style="52" customWidth="1"/>
    <col min="16" max="16" width="19.140625" style="51" customWidth="1"/>
    <col min="17" max="17" width="14.28515625" style="51" bestFit="1" customWidth="1"/>
    <col min="18" max="16384" width="11.42578125" style="51"/>
  </cols>
  <sheetData>
    <row r="1" spans="1:17" ht="30" customHeight="1" x14ac:dyDescent="0.25">
      <c r="A1" s="593" t="s">
        <v>13</v>
      </c>
      <c r="B1" s="594"/>
      <c r="C1" s="594"/>
      <c r="D1" s="594"/>
      <c r="E1" s="594"/>
      <c r="F1" s="47"/>
      <c r="G1" s="48"/>
      <c r="H1" s="49"/>
      <c r="I1" s="49"/>
      <c r="J1" s="49"/>
      <c r="K1" s="49"/>
      <c r="L1" s="50"/>
    </row>
    <row r="2" spans="1:17" ht="25.5" customHeight="1" x14ac:dyDescent="0.25">
      <c r="A2" s="595" t="s">
        <v>142</v>
      </c>
      <c r="B2" s="596"/>
      <c r="C2" s="596"/>
      <c r="D2" s="596"/>
      <c r="E2" s="596"/>
      <c r="F2" s="53"/>
      <c r="G2" s="54"/>
      <c r="H2" s="55"/>
      <c r="I2" s="55"/>
      <c r="J2" s="55"/>
      <c r="K2" s="55"/>
      <c r="L2" s="56"/>
      <c r="M2" s="52"/>
      <c r="N2" s="51"/>
      <c r="O2" s="51"/>
    </row>
    <row r="3" spans="1:17" ht="23.25" customHeight="1" x14ac:dyDescent="0.25">
      <c r="A3" s="587" t="str">
        <f>SERVIÇOS!A3</f>
        <v>COORDENAÇÃO DE ORÇAMENTO E PLANEJAMENTO</v>
      </c>
      <c r="B3" s="588"/>
      <c r="C3" s="588"/>
      <c r="D3" s="588"/>
      <c r="E3" s="588"/>
      <c r="F3" s="53"/>
      <c r="G3" s="54"/>
      <c r="H3" s="55"/>
      <c r="I3" s="55"/>
      <c r="J3" s="55"/>
      <c r="K3" s="55"/>
      <c r="L3" s="56"/>
    </row>
    <row r="4" spans="1:17" ht="20.25" x14ac:dyDescent="0.25">
      <c r="A4" s="70" t="s">
        <v>6</v>
      </c>
      <c r="B4" s="1"/>
      <c r="C4" s="2"/>
      <c r="D4" s="234"/>
      <c r="E4" s="71" t="s">
        <v>8</v>
      </c>
      <c r="F4" s="53"/>
      <c r="G4" s="54"/>
      <c r="H4" s="55"/>
      <c r="I4" s="55"/>
      <c r="J4" s="55"/>
      <c r="K4" s="55"/>
      <c r="L4" s="56"/>
    </row>
    <row r="5" spans="1:17" s="60" customFormat="1" ht="40.15" customHeight="1" x14ac:dyDescent="0.2">
      <c r="A5" s="585" t="str">
        <f>SERVIÇOS!A5</f>
        <v>Serviços de Recuperação de Ambientes no ICS</v>
      </c>
      <c r="B5" s="586"/>
      <c r="C5" s="586"/>
      <c r="D5" s="586"/>
      <c r="E5" s="603" t="str">
        <f>SERVIÇOS!D5</f>
        <v>JANEIRO/2021</v>
      </c>
      <c r="F5" s="603"/>
      <c r="G5" s="57"/>
      <c r="H5" s="58"/>
      <c r="I5" s="58"/>
      <c r="J5" s="58"/>
      <c r="K5" s="58"/>
      <c r="L5" s="59"/>
      <c r="N5" s="61"/>
      <c r="O5" s="61"/>
    </row>
    <row r="6" spans="1:17" ht="40.5" customHeight="1" x14ac:dyDescent="0.3">
      <c r="A6" s="590" t="s">
        <v>7</v>
      </c>
      <c r="B6" s="591"/>
      <c r="C6" s="2"/>
      <c r="D6" s="294"/>
      <c r="E6" s="71" t="s">
        <v>16</v>
      </c>
      <c r="F6" s="53"/>
      <c r="G6" s="608" t="s">
        <v>17</v>
      </c>
      <c r="H6" s="608"/>
      <c r="I6" s="295"/>
      <c r="J6" s="295" t="s">
        <v>18</v>
      </c>
      <c r="K6" s="295"/>
      <c r="L6" s="349" t="s">
        <v>489</v>
      </c>
    </row>
    <row r="7" spans="1:17" ht="21" thickBot="1" x14ac:dyDescent="0.35">
      <c r="A7" s="296" t="str">
        <f>SERVIÇOS!A7</f>
        <v>Campus Universitário do Canela - Salvador - Bahia</v>
      </c>
      <c r="B7" s="297"/>
      <c r="C7" s="298"/>
      <c r="D7" s="299"/>
      <c r="E7" s="308">
        <f>SERVIÇOS!D7</f>
        <v>54.86</v>
      </c>
      <c r="F7" s="308"/>
      <c r="G7" s="609">
        <f>SERVIÇOS!G242</f>
        <v>142427.99056982377</v>
      </c>
      <c r="H7" s="609"/>
      <c r="I7" s="58"/>
      <c r="J7" s="348">
        <f>G7/E7</f>
        <v>2596.2083589103859</v>
      </c>
      <c r="K7" s="345"/>
      <c r="L7" s="346">
        <f>SERVIÇOS!E15</f>
        <v>2</v>
      </c>
      <c r="M7" s="52"/>
      <c r="N7" s="51"/>
      <c r="O7" s="51"/>
    </row>
    <row r="8" spans="1:17" ht="13.5" customHeight="1" x14ac:dyDescent="0.25">
      <c r="A8" s="604" t="s">
        <v>19</v>
      </c>
      <c r="B8" s="605"/>
      <c r="C8" s="605"/>
      <c r="D8" s="605"/>
      <c r="E8" s="605"/>
      <c r="F8" s="605"/>
      <c r="G8" s="605"/>
      <c r="H8" s="605"/>
      <c r="I8" s="605"/>
      <c r="J8" s="605"/>
      <c r="K8" s="605"/>
      <c r="L8" s="606"/>
      <c r="M8" s="268"/>
      <c r="N8" s="269">
        <f>SERVIÇOS!F241</f>
        <v>0.25</v>
      </c>
    </row>
    <row r="9" spans="1:17" ht="14.1" customHeight="1" x14ac:dyDescent="0.25">
      <c r="A9" s="611" t="s">
        <v>20</v>
      </c>
      <c r="B9" s="612" t="s">
        <v>21</v>
      </c>
      <c r="C9" s="601" t="s">
        <v>22</v>
      </c>
      <c r="D9" s="600" t="s">
        <v>0</v>
      </c>
      <c r="E9" s="601" t="s">
        <v>152</v>
      </c>
      <c r="F9" s="602" t="s">
        <v>153</v>
      </c>
      <c r="G9" s="599" t="s">
        <v>23</v>
      </c>
      <c r="H9" s="599"/>
      <c r="I9" s="599" t="s">
        <v>24</v>
      </c>
      <c r="J9" s="599"/>
      <c r="K9" s="610" t="s">
        <v>488</v>
      </c>
      <c r="L9" s="607"/>
      <c r="M9" s="268"/>
      <c r="N9" s="269"/>
    </row>
    <row r="10" spans="1:17" ht="14.1" customHeight="1" x14ac:dyDescent="0.25">
      <c r="A10" s="611"/>
      <c r="B10" s="612"/>
      <c r="C10" s="601"/>
      <c r="D10" s="600"/>
      <c r="E10" s="601"/>
      <c r="F10" s="602"/>
      <c r="G10" s="270" t="s">
        <v>0</v>
      </c>
      <c r="H10" s="270" t="s">
        <v>25</v>
      </c>
      <c r="I10" s="270" t="s">
        <v>0</v>
      </c>
      <c r="J10" s="270" t="s">
        <v>25</v>
      </c>
      <c r="K10" s="301" t="s">
        <v>0</v>
      </c>
      <c r="L10" s="271" t="s">
        <v>25</v>
      </c>
      <c r="M10" s="268"/>
      <c r="N10" s="272"/>
    </row>
    <row r="11" spans="1:17" s="251" customFormat="1" ht="25.5" customHeight="1" x14ac:dyDescent="0.3">
      <c r="A11" s="237">
        <f>SERVIÇOS!A10</f>
        <v>1</v>
      </c>
      <c r="B11" s="292" t="str">
        <f>SERVIÇOS!C10</f>
        <v>MOBILIZAÇÃO E SERVIÇOS PRELIMINARES</v>
      </c>
      <c r="C11" s="239">
        <f>SERVIÇOS!G10</f>
        <v>4921.7075999999997</v>
      </c>
      <c r="D11" s="240">
        <f t="shared" ref="D11:D18" si="0">F11/$G$7</f>
        <v>4.3194701233841976E-2</v>
      </c>
      <c r="E11" s="241">
        <f t="shared" ref="E11:E18" si="1">C11*$N$8</f>
        <v>1230.4268999999999</v>
      </c>
      <c r="F11" s="241">
        <f t="shared" ref="F11:F18" si="2">E11+C11</f>
        <v>6152.1345000000001</v>
      </c>
      <c r="G11" s="253">
        <v>1</v>
      </c>
      <c r="H11" s="243">
        <f t="shared" ref="H11:H18" si="3">G11*F11</f>
        <v>6152.1345000000001</v>
      </c>
      <c r="I11" s="293"/>
      <c r="J11" s="244">
        <f>I11*F11</f>
        <v>0</v>
      </c>
      <c r="K11" s="253"/>
      <c r="L11" s="245">
        <f t="shared" ref="L11:L18" si="4">K11*F11</f>
        <v>0</v>
      </c>
      <c r="M11" s="246"/>
      <c r="N11" s="247">
        <f>G11+I11+K11</f>
        <v>1</v>
      </c>
      <c r="O11" s="248">
        <v>30</v>
      </c>
      <c r="P11" s="249">
        <f>H27</f>
        <v>72545.496840078005</v>
      </c>
      <c r="Q11" s="250">
        <f>G28</f>
        <v>0.50934859468169902</v>
      </c>
    </row>
    <row r="12" spans="1:17" s="251" customFormat="1" ht="33.75" customHeight="1" x14ac:dyDescent="0.3">
      <c r="A12" s="237">
        <f>SERVIÇOS!A21</f>
        <v>3</v>
      </c>
      <c r="B12" s="238" t="str">
        <f>SERVIÇOS!C21</f>
        <v>SANITÁRIO FEM. 2º PAV</v>
      </c>
      <c r="C12" s="239">
        <f>SERVIÇOS!G21</f>
        <v>5158.1904136860003</v>
      </c>
      <c r="D12" s="240">
        <f t="shared" si="0"/>
        <v>4.5270160670746573E-2</v>
      </c>
      <c r="E12" s="241">
        <f t="shared" si="1"/>
        <v>1289.5476034215001</v>
      </c>
      <c r="F12" s="241">
        <f t="shared" si="2"/>
        <v>6447.7380171075001</v>
      </c>
      <c r="G12" s="242">
        <v>0.5</v>
      </c>
      <c r="H12" s="243">
        <f t="shared" si="3"/>
        <v>3223.8690085537501</v>
      </c>
      <c r="I12" s="242">
        <v>0.5</v>
      </c>
      <c r="J12" s="244">
        <f t="shared" ref="J12:J18" si="5">I12*F12</f>
        <v>3223.8690085537501</v>
      </c>
      <c r="K12" s="242"/>
      <c r="L12" s="245">
        <f t="shared" si="4"/>
        <v>0</v>
      </c>
      <c r="M12" s="246"/>
      <c r="N12" s="247">
        <f t="shared" ref="N12:N18" si="6">G12+I12+K12</f>
        <v>1</v>
      </c>
      <c r="O12" s="248">
        <f>O11+30</f>
        <v>60</v>
      </c>
      <c r="P12" s="249">
        <f>J27</f>
        <v>69882.493729745736</v>
      </c>
      <c r="Q12" s="250">
        <f>I28</f>
        <v>1</v>
      </c>
    </row>
    <row r="13" spans="1:17" s="251" customFormat="1" ht="18" customHeight="1" x14ac:dyDescent="0.3">
      <c r="A13" s="237">
        <f>SERVIÇOS!A53</f>
        <v>4</v>
      </c>
      <c r="B13" s="238" t="str">
        <f>SERVIÇOS!C53</f>
        <v>SANITÁRIO FEM/MASC.. 3º PAV</v>
      </c>
      <c r="C13" s="239">
        <f>SERVIÇOS!G53</f>
        <v>10384.379468644001</v>
      </c>
      <c r="D13" s="240">
        <f t="shared" si="0"/>
        <v>9.1137102221781785E-2</v>
      </c>
      <c r="E13" s="241">
        <f t="shared" si="1"/>
        <v>2596.0948671610004</v>
      </c>
      <c r="F13" s="241">
        <f t="shared" si="2"/>
        <v>12980.474335805002</v>
      </c>
      <c r="G13" s="242">
        <v>0.5</v>
      </c>
      <c r="H13" s="243">
        <f t="shared" si="3"/>
        <v>6490.2371679025009</v>
      </c>
      <c r="I13" s="242">
        <v>0.5</v>
      </c>
      <c r="J13" s="244">
        <f t="shared" si="5"/>
        <v>6490.2371679025009</v>
      </c>
      <c r="K13" s="242"/>
      <c r="L13" s="245">
        <f t="shared" si="4"/>
        <v>0</v>
      </c>
      <c r="M13" s="246"/>
      <c r="N13" s="247">
        <f t="shared" si="6"/>
        <v>1</v>
      </c>
      <c r="O13" s="248">
        <f>O12+30</f>
        <v>90</v>
      </c>
      <c r="P13" s="249">
        <f>L27</f>
        <v>0</v>
      </c>
      <c r="Q13" s="250">
        <f>K28</f>
        <v>1</v>
      </c>
    </row>
    <row r="14" spans="1:17" s="251" customFormat="1" ht="18" customHeight="1" x14ac:dyDescent="0.3">
      <c r="A14" s="237">
        <f>SERVIÇOS!A94</f>
        <v>5</v>
      </c>
      <c r="B14" s="238" t="str">
        <f>SERVIÇOS!C94</f>
        <v>SANITÁRIO FEM. 4º PAV.</v>
      </c>
      <c r="C14" s="239">
        <f>SERVIÇOS!G94</f>
        <v>2963.6582748430005</v>
      </c>
      <c r="D14" s="240">
        <f t="shared" si="0"/>
        <v>2.6010146100724663E-2</v>
      </c>
      <c r="E14" s="241">
        <f t="shared" si="1"/>
        <v>740.91456871075013</v>
      </c>
      <c r="F14" s="241">
        <f t="shared" si="2"/>
        <v>3704.5728435537508</v>
      </c>
      <c r="G14" s="242">
        <v>0.5</v>
      </c>
      <c r="H14" s="243">
        <f t="shared" si="3"/>
        <v>1852.2864217768754</v>
      </c>
      <c r="I14" s="242">
        <v>0.5</v>
      </c>
      <c r="J14" s="244">
        <f t="shared" si="5"/>
        <v>1852.2864217768754</v>
      </c>
      <c r="K14" s="242"/>
      <c r="L14" s="245">
        <f t="shared" si="4"/>
        <v>0</v>
      </c>
      <c r="M14" s="246"/>
      <c r="N14" s="247">
        <f t="shared" si="6"/>
        <v>1</v>
      </c>
      <c r="O14" s="248"/>
      <c r="P14" s="249"/>
      <c r="Q14" s="250"/>
    </row>
    <row r="15" spans="1:17" s="251" customFormat="1" ht="18" customHeight="1" x14ac:dyDescent="0.3">
      <c r="A15" s="237">
        <f>SERVIÇOS!A121</f>
        <v>6</v>
      </c>
      <c r="B15" s="238" t="str">
        <f>SERVIÇOS!C121</f>
        <v>SANITÁRIO MASC. 5º PAV</v>
      </c>
      <c r="C15" s="239">
        <f>SERVIÇOS!G121</f>
        <v>7361.9850736859989</v>
      </c>
      <c r="D15" s="240">
        <f t="shared" si="0"/>
        <v>6.4611466505216764E-2</v>
      </c>
      <c r="E15" s="241">
        <f t="shared" si="1"/>
        <v>1840.4962684214997</v>
      </c>
      <c r="F15" s="241">
        <f t="shared" si="2"/>
        <v>9202.4813421074978</v>
      </c>
      <c r="G15" s="242">
        <v>0.5</v>
      </c>
      <c r="H15" s="243">
        <f t="shared" si="3"/>
        <v>4601.2406710537489</v>
      </c>
      <c r="I15" s="242">
        <v>0.5</v>
      </c>
      <c r="J15" s="244">
        <f t="shared" si="5"/>
        <v>4601.2406710537489</v>
      </c>
      <c r="K15" s="242"/>
      <c r="L15" s="245">
        <f t="shared" si="4"/>
        <v>0</v>
      </c>
      <c r="M15" s="246"/>
      <c r="N15" s="247">
        <f t="shared" si="6"/>
        <v>1</v>
      </c>
      <c r="O15" s="248"/>
      <c r="P15" s="249"/>
      <c r="Q15" s="250"/>
    </row>
    <row r="16" spans="1:17" s="251" customFormat="1" ht="18" customHeight="1" x14ac:dyDescent="0.3">
      <c r="A16" s="237">
        <f>SERVIÇOS!A160</f>
        <v>7</v>
      </c>
      <c r="B16" s="238" t="str">
        <f>SERVIÇOS!C160</f>
        <v>PAVIMENTAÇÃO</v>
      </c>
      <c r="C16" s="239">
        <f>SERVIÇOS!G160</f>
        <v>10651.415625000003</v>
      </c>
      <c r="D16" s="240">
        <f t="shared" si="0"/>
        <v>9.3480708939180243E-2</v>
      </c>
      <c r="E16" s="241">
        <f t="shared" si="1"/>
        <v>2662.8539062500008</v>
      </c>
      <c r="F16" s="241">
        <f t="shared" si="2"/>
        <v>13314.269531250004</v>
      </c>
      <c r="G16" s="242">
        <v>0.5</v>
      </c>
      <c r="H16" s="243">
        <f t="shared" si="3"/>
        <v>6657.1347656250018</v>
      </c>
      <c r="I16" s="242">
        <v>0.5</v>
      </c>
      <c r="J16" s="244">
        <f t="shared" si="5"/>
        <v>6657.1347656250018</v>
      </c>
      <c r="K16" s="242"/>
      <c r="L16" s="245">
        <f t="shared" si="4"/>
        <v>0</v>
      </c>
      <c r="M16" s="246"/>
      <c r="N16" s="247">
        <f t="shared" si="6"/>
        <v>1</v>
      </c>
      <c r="O16" s="248"/>
      <c r="P16" s="249"/>
      <c r="Q16" s="250"/>
    </row>
    <row r="17" spans="1:17" s="251" customFormat="1" ht="18" customHeight="1" x14ac:dyDescent="0.3">
      <c r="A17" s="237">
        <f>SERVIÇOS!A207</f>
        <v>8</v>
      </c>
      <c r="B17" s="238" t="str">
        <f>SERVIÇOS!C207</f>
        <v>ESQUADRIAS</v>
      </c>
      <c r="C17" s="239">
        <f>SERVIÇOS!G207</f>
        <v>39783.605799999998</v>
      </c>
      <c r="D17" s="240">
        <f t="shared" si="0"/>
        <v>0.34915543673011834</v>
      </c>
      <c r="E17" s="241">
        <f t="shared" si="1"/>
        <v>9945.9014499999994</v>
      </c>
      <c r="F17" s="241">
        <f>E17+C17</f>
        <v>49729.507249999995</v>
      </c>
      <c r="G17" s="242">
        <v>0.5</v>
      </c>
      <c r="H17" s="243">
        <f>G17*F17</f>
        <v>24864.753624999998</v>
      </c>
      <c r="I17" s="242">
        <v>0.5</v>
      </c>
      <c r="J17" s="244">
        <f t="shared" si="5"/>
        <v>24864.753624999998</v>
      </c>
      <c r="K17" s="242"/>
      <c r="L17" s="245">
        <f t="shared" si="4"/>
        <v>0</v>
      </c>
      <c r="M17" s="246"/>
      <c r="N17" s="247">
        <f t="shared" si="6"/>
        <v>1</v>
      </c>
      <c r="O17" s="248"/>
      <c r="P17" s="249"/>
      <c r="Q17" s="250"/>
    </row>
    <row r="18" spans="1:17" s="251" customFormat="1" ht="15" x14ac:dyDescent="0.3">
      <c r="A18" s="237">
        <f>SERVIÇOS!A232</f>
        <v>9</v>
      </c>
      <c r="B18" s="238" t="str">
        <f>SERVIÇOS!C232</f>
        <v>SERVIÇOS FINAIS E DESMOBILIZAÇÃO</v>
      </c>
      <c r="C18" s="252">
        <f>SERVIÇOS!G232</f>
        <v>3340.5701999999997</v>
      </c>
      <c r="D18" s="240">
        <f t="shared" si="0"/>
        <v>2.9318062645508586E-2</v>
      </c>
      <c r="E18" s="241">
        <f t="shared" si="1"/>
        <v>835.14254999999991</v>
      </c>
      <c r="F18" s="241">
        <f t="shared" si="2"/>
        <v>4175.7127499999997</v>
      </c>
      <c r="G18" s="242"/>
      <c r="H18" s="243">
        <f t="shared" si="3"/>
        <v>0</v>
      </c>
      <c r="I18" s="242">
        <v>1</v>
      </c>
      <c r="J18" s="244">
        <f t="shared" si="5"/>
        <v>4175.7127499999997</v>
      </c>
      <c r="K18" s="253"/>
      <c r="L18" s="245">
        <f t="shared" si="4"/>
        <v>0</v>
      </c>
      <c r="M18" s="246"/>
      <c r="N18" s="247">
        <f t="shared" si="6"/>
        <v>1</v>
      </c>
      <c r="O18" s="248"/>
      <c r="P18" s="249"/>
      <c r="Q18" s="250"/>
    </row>
    <row r="19" spans="1:17" s="251" customFormat="1" ht="18" customHeight="1" x14ac:dyDescent="0.3">
      <c r="A19" s="254"/>
      <c r="B19" s="255" t="s">
        <v>137</v>
      </c>
      <c r="C19" s="256">
        <f>SUM(C11:C18)</f>
        <v>84565.512455859003</v>
      </c>
      <c r="D19" s="257">
        <f>SUM(D11:D18)</f>
        <v>0.74217778504711907</v>
      </c>
      <c r="E19" s="256">
        <f>SUM(E11:E18)</f>
        <v>21141.378113964751</v>
      </c>
      <c r="F19" s="256">
        <f>SUM(F11:F18)</f>
        <v>105706.89056982375</v>
      </c>
      <c r="G19" s="258">
        <f>H19/F19</f>
        <v>0.50934859468169902</v>
      </c>
      <c r="H19" s="259">
        <f>SUM(H11:H18)</f>
        <v>53841.656159911872</v>
      </c>
      <c r="I19" s="258">
        <f>J19/$F$19</f>
        <v>0.49065140531830087</v>
      </c>
      <c r="J19" s="259">
        <f>SUM(J11:J18)</f>
        <v>51865.234409911871</v>
      </c>
      <c r="K19" s="258">
        <f>L19/$F$19</f>
        <v>0</v>
      </c>
      <c r="L19" s="260">
        <f>SUM(L11:L18)</f>
        <v>0</v>
      </c>
      <c r="M19" s="246"/>
      <c r="N19" s="247">
        <f>G19+K19</f>
        <v>0.50934859468169902</v>
      </c>
      <c r="O19" s="248"/>
      <c r="P19" s="249"/>
      <c r="Q19" s="250"/>
    </row>
    <row r="20" spans="1:17" s="251" customFormat="1" ht="18" customHeight="1" x14ac:dyDescent="0.3">
      <c r="A20" s="261"/>
      <c r="B20" s="262"/>
      <c r="C20" s="263"/>
      <c r="D20" s="264"/>
      <c r="E20" s="263"/>
      <c r="F20" s="263"/>
      <c r="G20" s="265"/>
      <c r="H20" s="266"/>
      <c r="I20" s="266"/>
      <c r="J20" s="266"/>
      <c r="K20" s="265"/>
      <c r="L20" s="267"/>
      <c r="M20" s="246"/>
      <c r="N20" s="247"/>
      <c r="O20" s="248"/>
      <c r="P20" s="249"/>
      <c r="Q20" s="250"/>
    </row>
    <row r="21" spans="1:17" ht="14.1" customHeight="1" x14ac:dyDescent="0.25">
      <c r="A21" s="611" t="s">
        <v>20</v>
      </c>
      <c r="B21" s="612" t="s">
        <v>21</v>
      </c>
      <c r="C21" s="601" t="s">
        <v>22</v>
      </c>
      <c r="D21" s="600" t="s">
        <v>0</v>
      </c>
      <c r="E21" s="601" t="s">
        <v>152</v>
      </c>
      <c r="F21" s="602" t="s">
        <v>153</v>
      </c>
      <c r="G21" s="599" t="s">
        <v>23</v>
      </c>
      <c r="H21" s="599"/>
      <c r="I21" s="599" t="s">
        <v>24</v>
      </c>
      <c r="J21" s="599"/>
      <c r="K21" s="599" t="s">
        <v>24</v>
      </c>
      <c r="L21" s="607"/>
      <c r="M21" s="268"/>
      <c r="N21" s="269"/>
    </row>
    <row r="22" spans="1:17" ht="14.1" customHeight="1" x14ac:dyDescent="0.25">
      <c r="A22" s="611"/>
      <c r="B22" s="612"/>
      <c r="C22" s="601"/>
      <c r="D22" s="600"/>
      <c r="E22" s="601"/>
      <c r="F22" s="602"/>
      <c r="G22" s="270" t="s">
        <v>0</v>
      </c>
      <c r="H22" s="270" t="s">
        <v>25</v>
      </c>
      <c r="I22" s="270" t="s">
        <v>0</v>
      </c>
      <c r="J22" s="270" t="s">
        <v>25</v>
      </c>
      <c r="K22" s="270" t="s">
        <v>0</v>
      </c>
      <c r="L22" s="271" t="s">
        <v>25</v>
      </c>
      <c r="M22" s="268"/>
      <c r="N22" s="272"/>
    </row>
    <row r="23" spans="1:17" s="251" customFormat="1" ht="15" customHeight="1" x14ac:dyDescent="0.3">
      <c r="A23" s="237">
        <f>SERVIÇOS!A14</f>
        <v>2</v>
      </c>
      <c r="B23" s="238" t="str">
        <f>SERVIÇOS!C14</f>
        <v xml:space="preserve">ADMINISTRAÇÃO LOCAL </v>
      </c>
      <c r="C23" s="239">
        <f>SERVIÇOS!G14</f>
        <v>29376.879999999997</v>
      </c>
      <c r="D23" s="240">
        <f>F23/$G$7</f>
        <v>0.25782221495288088</v>
      </c>
      <c r="E23" s="241">
        <f>C23*$N$8</f>
        <v>7344.2199999999993</v>
      </c>
      <c r="F23" s="241">
        <f>E23+C23</f>
        <v>36721.1</v>
      </c>
      <c r="G23" s="242">
        <f>G19</f>
        <v>0.50934859468169902</v>
      </c>
      <c r="H23" s="243">
        <f>F23*G23</f>
        <v>18703.840680166137</v>
      </c>
      <c r="I23" s="242">
        <f>I19</f>
        <v>0.49065140531830087</v>
      </c>
      <c r="J23" s="243">
        <f>I23*F23</f>
        <v>18017.259319833858</v>
      </c>
      <c r="K23" s="242">
        <f>K19</f>
        <v>0</v>
      </c>
      <c r="L23" s="245">
        <f>K23*F23</f>
        <v>0</v>
      </c>
      <c r="M23" s="246"/>
      <c r="N23" s="247">
        <f>G23+K23</f>
        <v>0.50934859468169902</v>
      </c>
      <c r="O23" s="248"/>
      <c r="P23" s="249"/>
      <c r="Q23" s="250"/>
    </row>
    <row r="24" spans="1:17" s="251" customFormat="1" ht="15" customHeight="1" x14ac:dyDescent="0.3">
      <c r="A24" s="237"/>
      <c r="B24" s="238"/>
      <c r="C24" s="239"/>
      <c r="D24" s="240"/>
      <c r="E24" s="241"/>
      <c r="F24" s="241"/>
      <c r="G24" s="253"/>
      <c r="H24" s="243"/>
      <c r="I24" s="253"/>
      <c r="J24" s="243"/>
      <c r="K24" s="253"/>
      <c r="L24" s="245"/>
      <c r="M24" s="246"/>
      <c r="N24" s="247"/>
      <c r="O24" s="248"/>
      <c r="P24" s="249"/>
      <c r="Q24" s="250"/>
    </row>
    <row r="25" spans="1:17" s="279" customFormat="1" ht="18" customHeight="1" x14ac:dyDescent="0.4">
      <c r="A25" s="273"/>
      <c r="B25" s="255" t="s">
        <v>138</v>
      </c>
      <c r="C25" s="256">
        <f>C23</f>
        <v>29376.879999999997</v>
      </c>
      <c r="D25" s="257">
        <f>D23</f>
        <v>0.25782221495288088</v>
      </c>
      <c r="E25" s="256">
        <f>E23</f>
        <v>7344.2199999999993</v>
      </c>
      <c r="F25" s="256">
        <f>E25+C25</f>
        <v>36721.1</v>
      </c>
      <c r="G25" s="258">
        <f>H25/F25</f>
        <v>0.50934859468169902</v>
      </c>
      <c r="H25" s="259">
        <f>H23</f>
        <v>18703.840680166137</v>
      </c>
      <c r="I25" s="258">
        <f>J25/F25</f>
        <v>0.49065140531830087</v>
      </c>
      <c r="J25" s="259">
        <f>J23</f>
        <v>18017.259319833858</v>
      </c>
      <c r="K25" s="258">
        <f>L25/F25</f>
        <v>0</v>
      </c>
      <c r="L25" s="260">
        <f>L23</f>
        <v>0</v>
      </c>
      <c r="M25" s="274"/>
      <c r="N25" s="275"/>
      <c r="O25" s="276"/>
      <c r="P25" s="277"/>
      <c r="Q25" s="278"/>
    </row>
    <row r="26" spans="1:17" s="251" customFormat="1" ht="30" customHeight="1" x14ac:dyDescent="0.3">
      <c r="A26" s="237"/>
      <c r="B26" s="238"/>
      <c r="C26" s="239"/>
      <c r="D26" s="240"/>
      <c r="E26" s="241"/>
      <c r="F26" s="241"/>
      <c r="G26" s="253"/>
      <c r="H26" s="243"/>
      <c r="I26" s="253"/>
      <c r="J26" s="243"/>
      <c r="K26" s="253"/>
      <c r="L26" s="245"/>
      <c r="M26" s="246"/>
      <c r="N26" s="247"/>
      <c r="O26" s="248"/>
      <c r="P26" s="249"/>
      <c r="Q26" s="250"/>
    </row>
    <row r="27" spans="1:17" s="284" customFormat="1" ht="19.5" x14ac:dyDescent="0.35">
      <c r="A27" s="280"/>
      <c r="B27" s="281" t="s">
        <v>26</v>
      </c>
      <c r="C27" s="256">
        <f>C25+C19</f>
        <v>113942.39245585899</v>
      </c>
      <c r="D27" s="258">
        <f>D19+D25</f>
        <v>1</v>
      </c>
      <c r="E27" s="282">
        <f>E25+E19</f>
        <v>28485.598113964748</v>
      </c>
      <c r="F27" s="282">
        <f>F25+F19</f>
        <v>142427.99056982374</v>
      </c>
      <c r="G27" s="327">
        <f>H27/F27</f>
        <v>0.50934859468169902</v>
      </c>
      <c r="H27" s="328">
        <f>H25+H19</f>
        <v>72545.496840078005</v>
      </c>
      <c r="I27" s="329">
        <f>J27/F27</f>
        <v>0.49065140531830098</v>
      </c>
      <c r="J27" s="328">
        <f>J25+J19</f>
        <v>69882.493729745736</v>
      </c>
      <c r="K27" s="329">
        <f>L27/F27</f>
        <v>0</v>
      </c>
      <c r="L27" s="328">
        <f>L25+L19</f>
        <v>0</v>
      </c>
      <c r="M27" s="246"/>
      <c r="N27" s="283"/>
      <c r="O27" s="248"/>
      <c r="P27" s="249"/>
      <c r="Q27" s="250"/>
    </row>
    <row r="28" spans="1:17" s="251" customFormat="1" ht="24.95" customHeight="1" thickBot="1" x14ac:dyDescent="0.4">
      <c r="A28" s="285"/>
      <c r="B28" s="286" t="s">
        <v>27</v>
      </c>
      <c r="C28" s="287"/>
      <c r="D28" s="287"/>
      <c r="E28" s="288"/>
      <c r="F28" s="289"/>
      <c r="G28" s="330">
        <f>G27</f>
        <v>0.50934859468169902</v>
      </c>
      <c r="H28" s="302">
        <f>H27</f>
        <v>72545.496840078005</v>
      </c>
      <c r="I28" s="303">
        <f>G28+I27</f>
        <v>1</v>
      </c>
      <c r="J28" s="302">
        <f>H28+J27</f>
        <v>142427.99056982374</v>
      </c>
      <c r="K28" s="303">
        <f>I28+K27</f>
        <v>1</v>
      </c>
      <c r="L28" s="304">
        <f>J28+L27</f>
        <v>142427.99056982374</v>
      </c>
      <c r="M28" s="290"/>
      <c r="N28" s="291">
        <f>L28-G7</f>
        <v>0</v>
      </c>
      <c r="O28" s="248"/>
      <c r="P28" s="249"/>
      <c r="Q28" s="250"/>
    </row>
    <row r="29" spans="1:17" s="251" customFormat="1" ht="15" x14ac:dyDescent="0.3">
      <c r="A29" s="321"/>
      <c r="B29" s="322"/>
      <c r="C29" s="323"/>
      <c r="D29" s="323"/>
      <c r="E29" s="324"/>
      <c r="F29" s="325"/>
      <c r="G29" s="322"/>
      <c r="H29" s="350"/>
      <c r="I29" s="350"/>
      <c r="J29" s="350"/>
      <c r="K29" s="350"/>
      <c r="L29" s="351"/>
      <c r="N29" s="352"/>
      <c r="O29" s="248"/>
      <c r="P29" s="249"/>
      <c r="Q29" s="250"/>
    </row>
    <row r="30" spans="1:17" ht="13.5" x14ac:dyDescent="0.25">
      <c r="A30" s="321"/>
      <c r="B30" s="322"/>
      <c r="C30" s="323"/>
      <c r="D30" s="323"/>
      <c r="E30" s="324"/>
      <c r="F30" s="325"/>
      <c r="G30" s="322"/>
      <c r="H30" s="322"/>
      <c r="I30" s="322"/>
      <c r="J30" s="322"/>
      <c r="K30" s="322"/>
      <c r="L30" s="326"/>
    </row>
    <row r="31" spans="1:17" ht="13.5" x14ac:dyDescent="0.25">
      <c r="A31" s="321"/>
      <c r="B31" s="322"/>
      <c r="C31" s="323"/>
      <c r="D31" s="323"/>
      <c r="E31" s="324"/>
      <c r="F31" s="325"/>
      <c r="G31" s="322"/>
      <c r="H31" s="322"/>
      <c r="I31" s="322"/>
      <c r="J31" s="322"/>
      <c r="K31" s="322"/>
      <c r="L31" s="326"/>
    </row>
    <row r="32" spans="1:17" ht="13.5" x14ac:dyDescent="0.25">
      <c r="A32" s="321"/>
      <c r="B32" s="322"/>
      <c r="C32" s="323"/>
      <c r="D32" s="323"/>
      <c r="E32" s="324"/>
      <c r="F32" s="325"/>
      <c r="G32" s="322"/>
      <c r="H32" s="353"/>
      <c r="I32" s="353"/>
      <c r="J32" s="353"/>
      <c r="K32" s="353"/>
      <c r="L32" s="354"/>
    </row>
    <row r="33" spans="1:12" ht="13.5" x14ac:dyDescent="0.25">
      <c r="A33" s="321"/>
      <c r="B33" s="322"/>
      <c r="C33" s="323"/>
      <c r="D33" s="323"/>
      <c r="E33" s="324"/>
      <c r="F33" s="325"/>
      <c r="G33" s="322"/>
      <c r="H33" s="353"/>
      <c r="I33" s="353"/>
      <c r="J33" s="353"/>
      <c r="K33" s="353"/>
      <c r="L33" s="354"/>
    </row>
    <row r="34" spans="1:12" ht="13.5" x14ac:dyDescent="0.25">
      <c r="A34" s="321"/>
      <c r="B34" s="322"/>
      <c r="C34" s="323"/>
      <c r="D34" s="323"/>
      <c r="E34" s="324"/>
      <c r="F34" s="325"/>
      <c r="G34" s="322"/>
      <c r="H34" s="353"/>
      <c r="I34" s="353"/>
      <c r="J34" s="353"/>
      <c r="K34" s="353"/>
      <c r="L34" s="354"/>
    </row>
    <row r="35" spans="1:12" ht="13.5" x14ac:dyDescent="0.25">
      <c r="A35" s="321"/>
      <c r="B35" s="322"/>
      <c r="C35" s="323"/>
      <c r="D35" s="323"/>
      <c r="E35" s="324"/>
      <c r="F35" s="325"/>
      <c r="G35" s="322"/>
      <c r="H35" s="353"/>
      <c r="I35" s="353"/>
      <c r="J35" s="353"/>
      <c r="K35" s="353"/>
      <c r="L35" s="354"/>
    </row>
    <row r="36" spans="1:12" ht="13.5" x14ac:dyDescent="0.25">
      <c r="A36" s="321"/>
      <c r="B36" s="322"/>
      <c r="C36" s="323"/>
      <c r="D36" s="323"/>
      <c r="E36" s="324"/>
      <c r="F36" s="355"/>
      <c r="G36" s="322"/>
      <c r="H36" s="353"/>
      <c r="I36" s="353"/>
      <c r="J36" s="353"/>
      <c r="K36" s="353"/>
      <c r="L36" s="356"/>
    </row>
    <row r="37" spans="1:12" ht="13.5" x14ac:dyDescent="0.25">
      <c r="A37" s="321"/>
      <c r="B37" s="322"/>
      <c r="C37" s="323"/>
      <c r="D37" s="323"/>
      <c r="E37" s="324"/>
      <c r="F37" s="325"/>
      <c r="G37" s="322"/>
      <c r="H37" s="357"/>
      <c r="I37" s="357"/>
      <c r="J37" s="357"/>
      <c r="K37" s="353"/>
      <c r="L37" s="354"/>
    </row>
    <row r="38" spans="1:12" ht="13.5" x14ac:dyDescent="0.25">
      <c r="A38" s="321"/>
      <c r="B38" s="322"/>
      <c r="C38" s="323"/>
      <c r="D38" s="323"/>
      <c r="E38" s="324"/>
      <c r="F38" s="325"/>
      <c r="G38" s="322"/>
      <c r="H38" s="322"/>
      <c r="I38" s="322"/>
      <c r="J38" s="322"/>
      <c r="K38" s="322"/>
      <c r="L38" s="326"/>
    </row>
    <row r="39" spans="1:12" ht="13.5" x14ac:dyDescent="0.25">
      <c r="A39" s="321"/>
      <c r="B39" s="322"/>
      <c r="C39" s="323"/>
      <c r="D39" s="323"/>
      <c r="E39" s="324"/>
      <c r="F39" s="325"/>
      <c r="G39" s="322"/>
      <c r="H39" s="322"/>
      <c r="I39" s="322"/>
      <c r="J39" s="322"/>
      <c r="K39" s="322"/>
      <c r="L39" s="326"/>
    </row>
    <row r="40" spans="1:12" ht="13.5" x14ac:dyDescent="0.25">
      <c r="A40" s="321"/>
      <c r="B40" s="322"/>
      <c r="C40" s="323"/>
      <c r="D40" s="323"/>
      <c r="E40" s="324"/>
      <c r="F40" s="325"/>
      <c r="G40" s="322"/>
      <c r="H40" s="322"/>
      <c r="I40" s="322"/>
      <c r="J40" s="322"/>
      <c r="K40" s="322"/>
      <c r="L40" s="326"/>
    </row>
    <row r="41" spans="1:12" ht="13.5" x14ac:dyDescent="0.25">
      <c r="A41" s="321"/>
      <c r="B41" s="322"/>
      <c r="C41" s="323"/>
      <c r="D41" s="323"/>
      <c r="E41" s="324"/>
      <c r="F41" s="325"/>
      <c r="G41" s="322"/>
      <c r="H41" s="322"/>
      <c r="I41" s="322"/>
      <c r="J41" s="322"/>
      <c r="K41" s="322"/>
      <c r="L41" s="326"/>
    </row>
    <row r="42" spans="1:12" ht="13.5" x14ac:dyDescent="0.25">
      <c r="A42" s="321"/>
      <c r="B42" s="322"/>
      <c r="C42" s="323"/>
      <c r="D42" s="323"/>
      <c r="E42" s="324"/>
      <c r="F42" s="325"/>
      <c r="G42" s="322"/>
      <c r="H42" s="322"/>
      <c r="I42" s="322"/>
      <c r="J42" s="322"/>
      <c r="K42" s="322"/>
      <c r="L42" s="326"/>
    </row>
    <row r="43" spans="1:12" ht="13.5" x14ac:dyDescent="0.25">
      <c r="A43" s="321"/>
      <c r="B43" s="322"/>
      <c r="C43" s="323"/>
      <c r="D43" s="323"/>
      <c r="E43" s="324"/>
      <c r="F43" s="325"/>
      <c r="G43" s="322"/>
      <c r="H43" s="322"/>
      <c r="I43" s="322"/>
      <c r="J43" s="322"/>
      <c r="K43" s="322"/>
      <c r="L43" s="326"/>
    </row>
    <row r="44" spans="1:12" ht="13.5" x14ac:dyDescent="0.25">
      <c r="A44" s="321"/>
      <c r="B44" s="322"/>
      <c r="C44" s="323"/>
      <c r="D44" s="323"/>
      <c r="E44" s="324"/>
      <c r="F44" s="325"/>
      <c r="G44" s="322"/>
      <c r="H44" s="322"/>
      <c r="I44" s="322"/>
      <c r="J44" s="322"/>
      <c r="K44" s="322"/>
      <c r="L44" s="326"/>
    </row>
    <row r="45" spans="1:12" ht="13.5" x14ac:dyDescent="0.25">
      <c r="A45" s="321"/>
      <c r="B45" s="322"/>
      <c r="C45" s="323"/>
      <c r="D45" s="323"/>
      <c r="E45" s="324"/>
      <c r="F45" s="325"/>
      <c r="G45" s="322"/>
      <c r="H45" s="322"/>
      <c r="I45" s="322"/>
      <c r="J45" s="322"/>
      <c r="K45" s="322"/>
      <c r="L45" s="326"/>
    </row>
    <row r="46" spans="1:12" ht="13.5" x14ac:dyDescent="0.25">
      <c r="A46" s="321"/>
      <c r="B46" s="322"/>
      <c r="C46" s="323"/>
      <c r="D46" s="323"/>
      <c r="E46" s="324"/>
      <c r="F46" s="325"/>
      <c r="G46" s="322"/>
      <c r="H46" s="322"/>
      <c r="I46" s="322"/>
      <c r="J46" s="322"/>
      <c r="K46" s="322"/>
      <c r="L46" s="326"/>
    </row>
    <row r="47" spans="1:12" ht="13.5" x14ac:dyDescent="0.25">
      <c r="A47" s="321"/>
      <c r="B47" s="322"/>
      <c r="C47" s="323"/>
      <c r="D47" s="323"/>
      <c r="E47" s="324"/>
      <c r="F47" s="325"/>
      <c r="G47" s="322"/>
      <c r="H47" s="322"/>
      <c r="I47" s="322"/>
      <c r="J47" s="322"/>
      <c r="K47" s="322"/>
      <c r="L47" s="326"/>
    </row>
    <row r="48" spans="1:12" ht="13.5" x14ac:dyDescent="0.25">
      <c r="A48" s="321"/>
      <c r="B48" s="322"/>
      <c r="C48" s="323"/>
      <c r="D48" s="323"/>
      <c r="E48" s="324"/>
      <c r="F48" s="325"/>
      <c r="G48" s="322"/>
      <c r="H48" s="322"/>
      <c r="I48" s="322"/>
      <c r="J48" s="322"/>
      <c r="K48" s="322"/>
      <c r="L48" s="326"/>
    </row>
    <row r="49" spans="1:12" ht="13.5" x14ac:dyDescent="0.25">
      <c r="A49" s="321"/>
      <c r="B49" s="322"/>
      <c r="C49" s="323"/>
      <c r="D49" s="323"/>
      <c r="E49" s="324"/>
      <c r="F49" s="325"/>
      <c r="G49" s="322"/>
      <c r="H49" s="322"/>
      <c r="I49" s="322"/>
      <c r="J49" s="322"/>
      <c r="K49" s="322"/>
      <c r="L49" s="326"/>
    </row>
    <row r="50" spans="1:12" ht="13.5" x14ac:dyDescent="0.25">
      <c r="A50" s="321"/>
      <c r="B50" s="322"/>
      <c r="C50" s="323"/>
      <c r="D50" s="323"/>
      <c r="E50" s="324"/>
      <c r="F50" s="325"/>
      <c r="G50" s="322"/>
      <c r="H50" s="322"/>
      <c r="I50" s="322"/>
      <c r="J50" s="322"/>
      <c r="K50" s="322"/>
      <c r="L50" s="326"/>
    </row>
    <row r="51" spans="1:12" ht="14.25" thickBot="1" x14ac:dyDescent="0.3">
      <c r="A51" s="338"/>
      <c r="B51" s="339"/>
      <c r="C51" s="340"/>
      <c r="D51" s="340"/>
      <c r="E51" s="341"/>
      <c r="F51" s="342"/>
      <c r="G51" s="339"/>
      <c r="H51" s="339"/>
      <c r="I51" s="339"/>
      <c r="J51" s="339"/>
      <c r="K51" s="339"/>
      <c r="L51" s="343"/>
    </row>
    <row r="52" spans="1:12" ht="13.5" x14ac:dyDescent="0.25">
      <c r="A52" s="331"/>
      <c r="B52" s="332"/>
      <c r="C52" s="333"/>
      <c r="D52" s="333"/>
      <c r="E52" s="334"/>
      <c r="F52" s="335"/>
      <c r="G52" s="332"/>
      <c r="H52" s="332"/>
      <c r="I52" s="332"/>
      <c r="J52" s="332"/>
      <c r="K52" s="332"/>
      <c r="L52" s="332"/>
    </row>
    <row r="53" spans="1:12" ht="14.25" thickBot="1" x14ac:dyDescent="0.3">
      <c r="A53" s="331"/>
      <c r="B53" s="332"/>
      <c r="C53" s="333"/>
      <c r="D53" s="333"/>
      <c r="E53" s="334"/>
      <c r="F53" s="335"/>
      <c r="G53" s="332"/>
      <c r="H53" s="332"/>
      <c r="I53" s="332"/>
      <c r="J53" s="332"/>
      <c r="K53" s="332"/>
      <c r="L53" s="332"/>
    </row>
    <row r="54" spans="1:12" ht="30" x14ac:dyDescent="0.25">
      <c r="A54" s="593" t="s">
        <v>13</v>
      </c>
      <c r="B54" s="594"/>
      <c r="C54" s="594"/>
      <c r="D54" s="594"/>
      <c r="E54" s="594"/>
      <c r="F54" s="47"/>
      <c r="G54" s="48"/>
      <c r="H54" s="49"/>
      <c r="I54" s="49"/>
      <c r="J54" s="49"/>
      <c r="K54" s="49"/>
      <c r="L54" s="50"/>
    </row>
    <row r="55" spans="1:12" ht="25.5" customHeight="1" x14ac:dyDescent="0.25">
      <c r="A55" s="595" t="s">
        <v>142</v>
      </c>
      <c r="B55" s="596"/>
      <c r="C55" s="596"/>
      <c r="D55" s="596"/>
      <c r="E55" s="596"/>
      <c r="F55" s="53"/>
      <c r="G55" s="54"/>
      <c r="H55" s="55"/>
      <c r="I55" s="55"/>
      <c r="J55" s="55"/>
      <c r="K55" s="55"/>
      <c r="L55" s="56"/>
    </row>
    <row r="56" spans="1:12" ht="23.25" x14ac:dyDescent="0.25">
      <c r="A56" s="587" t="str">
        <f>A3</f>
        <v>COORDENAÇÃO DE ORÇAMENTO E PLANEJAMENTO</v>
      </c>
      <c r="B56" s="588"/>
      <c r="C56" s="588"/>
      <c r="D56" s="588"/>
      <c r="E56" s="588"/>
      <c r="F56" s="53"/>
      <c r="G56" s="54"/>
      <c r="H56" s="55"/>
      <c r="I56" s="55"/>
      <c r="J56" s="55"/>
      <c r="K56" s="55"/>
      <c r="L56" s="56"/>
    </row>
    <row r="57" spans="1:12" ht="20.25" x14ac:dyDescent="0.25">
      <c r="A57" s="70" t="s">
        <v>6</v>
      </c>
      <c r="B57" s="1"/>
      <c r="C57" s="2"/>
      <c r="D57" s="234"/>
      <c r="E57" s="598" t="s">
        <v>8</v>
      </c>
      <c r="F57" s="598"/>
      <c r="G57" s="54"/>
      <c r="H57" s="55"/>
      <c r="I57" s="55"/>
      <c r="J57" s="55"/>
      <c r="K57" s="55"/>
      <c r="L57" s="56"/>
    </row>
    <row r="58" spans="1:12" ht="40.15" customHeight="1" x14ac:dyDescent="0.3">
      <c r="A58" s="585" t="str">
        <f>A5</f>
        <v>Serviços de Recuperação de Ambientes no ICS</v>
      </c>
      <c r="B58" s="586"/>
      <c r="C58" s="586"/>
      <c r="D58" s="586"/>
      <c r="E58" s="589" t="str">
        <f>E5</f>
        <v>JANEIRO/2021</v>
      </c>
      <c r="F58" s="589"/>
      <c r="G58" s="54"/>
      <c r="H58" s="55"/>
      <c r="I58" s="55"/>
      <c r="J58" s="55"/>
      <c r="K58" s="55"/>
      <c r="L58" s="56"/>
    </row>
    <row r="59" spans="1:12" ht="44.25" customHeight="1" x14ac:dyDescent="0.25">
      <c r="A59" s="597" t="s">
        <v>7</v>
      </c>
      <c r="B59" s="598"/>
      <c r="C59" s="2"/>
      <c r="D59" s="294"/>
      <c r="E59" s="598" t="s">
        <v>16</v>
      </c>
      <c r="F59" s="598"/>
      <c r="G59" s="592" t="s">
        <v>17</v>
      </c>
      <c r="H59" s="592"/>
      <c r="I59" s="305"/>
      <c r="J59" s="305" t="s">
        <v>18</v>
      </c>
      <c r="K59" s="55"/>
      <c r="L59" s="349" t="s">
        <v>489</v>
      </c>
    </row>
    <row r="60" spans="1:12" ht="21" thickBot="1" x14ac:dyDescent="0.35">
      <c r="A60" s="306" t="str">
        <f>A7</f>
        <v>Campus Universitário do Canela - Salvador - Bahia</v>
      </c>
      <c r="B60" s="307"/>
      <c r="C60" s="298"/>
      <c r="D60" s="299"/>
      <c r="E60" s="584">
        <f>E7</f>
        <v>54.86</v>
      </c>
      <c r="F60" s="584"/>
      <c r="G60" s="584">
        <f>G7</f>
        <v>142427.99056982377</v>
      </c>
      <c r="H60" s="584"/>
      <c r="I60" s="308"/>
      <c r="J60" s="308">
        <f>J7</f>
        <v>2596.2083589103859</v>
      </c>
      <c r="K60" s="300"/>
      <c r="L60" s="346">
        <f>L7</f>
        <v>2</v>
      </c>
    </row>
    <row r="61" spans="1:12" ht="14.25" thickBot="1" x14ac:dyDescent="0.3">
      <c r="A61" s="309"/>
      <c r="B61" s="310"/>
      <c r="C61" s="311"/>
      <c r="D61" s="311"/>
      <c r="E61" s="312"/>
      <c r="F61" s="313"/>
      <c r="G61" s="310"/>
      <c r="H61" s="310"/>
      <c r="I61" s="310"/>
      <c r="J61" s="310"/>
      <c r="K61" s="310"/>
      <c r="L61" s="347"/>
    </row>
    <row r="62" spans="1:12" ht="13.5" x14ac:dyDescent="0.25">
      <c r="A62" s="315"/>
      <c r="B62" s="316"/>
      <c r="C62" s="317"/>
      <c r="D62" s="317"/>
      <c r="E62" s="318"/>
      <c r="F62" s="319"/>
      <c r="G62" s="316"/>
      <c r="H62" s="316"/>
      <c r="I62" s="316"/>
      <c r="J62" s="316"/>
      <c r="K62" s="316"/>
      <c r="L62" s="320"/>
    </row>
    <row r="63" spans="1:12" ht="13.5" x14ac:dyDescent="0.25">
      <c r="A63" s="321"/>
      <c r="B63" s="322"/>
      <c r="C63" s="323"/>
      <c r="D63" s="323"/>
      <c r="E63" s="324"/>
      <c r="F63" s="325"/>
      <c r="G63" s="322"/>
      <c r="H63" s="322"/>
      <c r="I63" s="322"/>
      <c r="J63" s="322"/>
      <c r="K63" s="322"/>
      <c r="L63" s="326"/>
    </row>
    <row r="64" spans="1:12" ht="13.5" x14ac:dyDescent="0.25">
      <c r="A64" s="321"/>
      <c r="B64" s="322"/>
      <c r="C64" s="323"/>
      <c r="D64" s="323"/>
      <c r="E64" s="324"/>
      <c r="F64" s="325"/>
      <c r="G64" s="322"/>
      <c r="H64" s="322"/>
      <c r="I64" s="322"/>
      <c r="J64" s="322"/>
      <c r="K64" s="322"/>
      <c r="L64" s="326"/>
    </row>
    <row r="65" spans="1:12" ht="13.5" x14ac:dyDescent="0.25">
      <c r="A65" s="321"/>
      <c r="B65" s="322"/>
      <c r="C65" s="323"/>
      <c r="D65" s="323"/>
      <c r="E65" s="324"/>
      <c r="F65" s="325"/>
      <c r="G65" s="322"/>
      <c r="H65" s="322"/>
      <c r="I65" s="322"/>
      <c r="J65" s="322"/>
      <c r="K65" s="322"/>
      <c r="L65" s="326"/>
    </row>
    <row r="66" spans="1:12" ht="13.5" x14ac:dyDescent="0.25">
      <c r="A66" s="321"/>
      <c r="B66" s="322"/>
      <c r="C66" s="323"/>
      <c r="D66" s="323"/>
      <c r="E66" s="324"/>
      <c r="F66" s="325"/>
      <c r="G66" s="322"/>
      <c r="H66" s="322"/>
      <c r="I66" s="322"/>
      <c r="J66" s="322"/>
      <c r="K66" s="322"/>
      <c r="L66" s="326"/>
    </row>
    <row r="67" spans="1:12" ht="13.5" x14ac:dyDescent="0.25">
      <c r="A67" s="321"/>
      <c r="B67" s="322"/>
      <c r="C67" s="323"/>
      <c r="D67" s="323"/>
      <c r="E67" s="324"/>
      <c r="F67" s="325"/>
      <c r="G67" s="322"/>
      <c r="H67" s="322"/>
      <c r="I67" s="322"/>
      <c r="J67" s="322"/>
      <c r="K67" s="322"/>
      <c r="L67" s="326"/>
    </row>
    <row r="68" spans="1:12" ht="13.5" x14ac:dyDescent="0.25">
      <c r="A68" s="321"/>
      <c r="B68" s="322"/>
      <c r="C68" s="323"/>
      <c r="D68" s="323"/>
      <c r="E68" s="324"/>
      <c r="F68" s="325"/>
      <c r="G68" s="322"/>
      <c r="H68" s="322"/>
      <c r="I68" s="322"/>
      <c r="J68" s="322"/>
      <c r="K68" s="322"/>
      <c r="L68" s="326"/>
    </row>
    <row r="69" spans="1:12" ht="13.5" x14ac:dyDescent="0.25">
      <c r="A69" s="321"/>
      <c r="B69" s="322"/>
      <c r="C69" s="323"/>
      <c r="D69" s="323"/>
      <c r="E69" s="324"/>
      <c r="F69" s="325"/>
      <c r="G69" s="322"/>
      <c r="H69" s="322"/>
      <c r="I69" s="322"/>
      <c r="J69" s="322"/>
      <c r="K69" s="322"/>
      <c r="L69" s="326"/>
    </row>
    <row r="70" spans="1:12" ht="13.5" x14ac:dyDescent="0.25">
      <c r="A70" s="321"/>
      <c r="B70" s="322"/>
      <c r="C70" s="323"/>
      <c r="D70" s="323"/>
      <c r="E70" s="324"/>
      <c r="F70" s="325"/>
      <c r="G70" s="322"/>
      <c r="H70" s="322"/>
      <c r="I70" s="322"/>
      <c r="J70" s="322"/>
      <c r="K70" s="322"/>
      <c r="L70" s="326"/>
    </row>
    <row r="71" spans="1:12" ht="13.5" x14ac:dyDescent="0.25">
      <c r="A71" s="321"/>
      <c r="B71" s="322"/>
      <c r="C71" s="323"/>
      <c r="D71" s="323"/>
      <c r="E71" s="324"/>
      <c r="F71" s="325"/>
      <c r="G71" s="322"/>
      <c r="H71" s="322"/>
      <c r="I71" s="322"/>
      <c r="J71" s="322"/>
      <c r="K71" s="322"/>
      <c r="L71" s="326"/>
    </row>
    <row r="72" spans="1:12" ht="13.5" x14ac:dyDescent="0.25">
      <c r="A72" s="321"/>
      <c r="B72" s="322"/>
      <c r="C72" s="323"/>
      <c r="D72" s="323"/>
      <c r="E72" s="324"/>
      <c r="F72" s="325"/>
      <c r="G72" s="322"/>
      <c r="H72" s="322"/>
      <c r="I72" s="322"/>
      <c r="J72" s="322"/>
      <c r="K72" s="322"/>
      <c r="L72" s="326"/>
    </row>
    <row r="73" spans="1:12" ht="13.5" x14ac:dyDescent="0.25">
      <c r="A73" s="321"/>
      <c r="B73" s="322"/>
      <c r="C73" s="323"/>
      <c r="D73" s="323"/>
      <c r="E73" s="324"/>
      <c r="F73" s="325"/>
      <c r="G73" s="322"/>
      <c r="H73" s="322"/>
      <c r="I73" s="322"/>
      <c r="J73" s="322"/>
      <c r="K73" s="322"/>
      <c r="L73" s="326"/>
    </row>
    <row r="74" spans="1:12" ht="13.5" x14ac:dyDescent="0.25">
      <c r="A74" s="321"/>
      <c r="B74" s="322"/>
      <c r="C74" s="323"/>
      <c r="D74" s="323"/>
      <c r="E74" s="324"/>
      <c r="F74" s="325"/>
      <c r="G74" s="322"/>
      <c r="H74" s="322"/>
      <c r="I74" s="322"/>
      <c r="J74" s="322"/>
      <c r="K74" s="322"/>
      <c r="L74" s="326"/>
    </row>
    <row r="75" spans="1:12" ht="13.5" x14ac:dyDescent="0.25">
      <c r="A75" s="321"/>
      <c r="B75" s="322"/>
      <c r="C75" s="323"/>
      <c r="D75" s="323"/>
      <c r="E75" s="324"/>
      <c r="F75" s="325"/>
      <c r="G75" s="322"/>
      <c r="H75" s="322"/>
      <c r="I75" s="322"/>
      <c r="J75" s="322"/>
      <c r="K75" s="322"/>
      <c r="L75" s="326"/>
    </row>
    <row r="76" spans="1:12" ht="13.5" x14ac:dyDescent="0.25">
      <c r="A76" s="321"/>
      <c r="B76" s="322"/>
      <c r="C76" s="323"/>
      <c r="D76" s="323"/>
      <c r="E76" s="324"/>
      <c r="F76" s="325"/>
      <c r="G76" s="322"/>
      <c r="H76" s="322"/>
      <c r="I76" s="322"/>
      <c r="J76" s="322"/>
      <c r="K76" s="322"/>
      <c r="L76" s="326"/>
    </row>
    <row r="77" spans="1:12" ht="13.5" x14ac:dyDescent="0.25">
      <c r="A77" s="321"/>
      <c r="B77" s="322"/>
      <c r="C77" s="323"/>
      <c r="D77" s="323"/>
      <c r="E77" s="324"/>
      <c r="F77" s="325"/>
      <c r="G77" s="322"/>
      <c r="H77" s="322"/>
      <c r="I77" s="322"/>
      <c r="J77" s="322"/>
      <c r="K77" s="322"/>
      <c r="L77" s="326"/>
    </row>
    <row r="78" spans="1:12" ht="13.5" x14ac:dyDescent="0.25">
      <c r="A78" s="321"/>
      <c r="B78" s="322"/>
      <c r="C78" s="323"/>
      <c r="D78" s="323"/>
      <c r="E78" s="324"/>
      <c r="F78" s="325"/>
      <c r="G78" s="322"/>
      <c r="H78" s="322"/>
      <c r="I78" s="322"/>
      <c r="J78" s="322"/>
      <c r="K78" s="322"/>
      <c r="L78" s="326"/>
    </row>
    <row r="79" spans="1:12" ht="13.5" x14ac:dyDescent="0.25">
      <c r="A79" s="321"/>
      <c r="B79" s="322"/>
      <c r="C79" s="323"/>
      <c r="D79" s="323"/>
      <c r="E79" s="324"/>
      <c r="F79" s="325"/>
      <c r="G79" s="322"/>
      <c r="H79" s="322"/>
      <c r="I79" s="322"/>
      <c r="J79" s="322"/>
      <c r="K79" s="322"/>
      <c r="L79" s="326"/>
    </row>
    <row r="80" spans="1:12" ht="13.5" x14ac:dyDescent="0.25">
      <c r="A80" s="321"/>
      <c r="B80" s="322"/>
      <c r="C80" s="323"/>
      <c r="D80" s="323"/>
      <c r="E80" s="324"/>
      <c r="F80" s="325"/>
      <c r="G80" s="322"/>
      <c r="H80" s="322"/>
      <c r="I80" s="322"/>
      <c r="J80" s="322"/>
      <c r="K80" s="322"/>
      <c r="L80" s="326"/>
    </row>
    <row r="81" spans="1:12" ht="13.5" x14ac:dyDescent="0.25">
      <c r="A81" s="321"/>
      <c r="B81" s="322"/>
      <c r="C81" s="323"/>
      <c r="D81" s="323"/>
      <c r="E81" s="324"/>
      <c r="F81" s="325"/>
      <c r="G81" s="322"/>
      <c r="H81" s="322"/>
      <c r="I81" s="322"/>
      <c r="J81" s="322"/>
      <c r="K81" s="322"/>
      <c r="L81" s="326"/>
    </row>
    <row r="82" spans="1:12" ht="13.5" x14ac:dyDescent="0.25">
      <c r="A82" s="321"/>
      <c r="B82" s="322"/>
      <c r="C82" s="323"/>
      <c r="D82" s="323"/>
      <c r="E82" s="324"/>
      <c r="F82" s="325"/>
      <c r="G82" s="322"/>
      <c r="H82" s="322"/>
      <c r="I82" s="322"/>
      <c r="J82" s="322"/>
      <c r="K82" s="322"/>
      <c r="L82" s="326"/>
    </row>
    <row r="83" spans="1:12" ht="13.5" x14ac:dyDescent="0.25">
      <c r="A83" s="321"/>
      <c r="B83" s="322"/>
      <c r="C83" s="323"/>
      <c r="D83" s="323"/>
      <c r="E83" s="324"/>
      <c r="F83" s="325"/>
      <c r="G83" s="322"/>
      <c r="H83" s="322"/>
      <c r="I83" s="322"/>
      <c r="J83" s="322"/>
      <c r="K83" s="322"/>
      <c r="L83" s="326"/>
    </row>
    <row r="84" spans="1:12" ht="13.5" x14ac:dyDescent="0.25">
      <c r="A84" s="321"/>
      <c r="B84" s="322"/>
      <c r="C84" s="323"/>
      <c r="D84" s="323"/>
      <c r="E84" s="324"/>
      <c r="F84" s="325"/>
      <c r="G84" s="322"/>
      <c r="H84" s="322"/>
      <c r="I84" s="322"/>
      <c r="J84" s="322"/>
      <c r="K84" s="322"/>
      <c r="L84" s="326"/>
    </row>
    <row r="85" spans="1:12" ht="13.5" x14ac:dyDescent="0.25">
      <c r="A85" s="321"/>
      <c r="B85" s="322"/>
      <c r="C85" s="323"/>
      <c r="D85" s="323"/>
      <c r="E85" s="324"/>
      <c r="F85" s="325"/>
      <c r="G85" s="322"/>
      <c r="H85" s="322"/>
      <c r="I85" s="322"/>
      <c r="J85" s="322"/>
      <c r="K85" s="322"/>
      <c r="L85" s="326"/>
    </row>
    <row r="86" spans="1:12" ht="13.5" x14ac:dyDescent="0.25">
      <c r="A86" s="321"/>
      <c r="B86" s="322"/>
      <c r="C86" s="323"/>
      <c r="D86" s="323"/>
      <c r="E86" s="324"/>
      <c r="F86" s="325"/>
      <c r="G86" s="322"/>
      <c r="H86" s="322"/>
      <c r="I86" s="322"/>
      <c r="J86" s="322"/>
      <c r="K86" s="322"/>
      <c r="L86" s="326"/>
    </row>
    <row r="87" spans="1:12" ht="13.5" x14ac:dyDescent="0.25">
      <c r="A87" s="321"/>
      <c r="B87" s="322"/>
      <c r="C87" s="323"/>
      <c r="D87" s="323"/>
      <c r="E87" s="324"/>
      <c r="F87" s="325"/>
      <c r="G87" s="322"/>
      <c r="H87" s="322"/>
      <c r="I87" s="322"/>
      <c r="J87" s="322"/>
      <c r="K87" s="322"/>
      <c r="L87" s="326"/>
    </row>
    <row r="88" spans="1:12" ht="13.5" x14ac:dyDescent="0.25">
      <c r="A88" s="321"/>
      <c r="B88" s="322"/>
      <c r="C88" s="323"/>
      <c r="D88" s="323"/>
      <c r="E88" s="324"/>
      <c r="F88" s="325"/>
      <c r="G88" s="322"/>
      <c r="H88" s="322"/>
      <c r="I88" s="322"/>
      <c r="J88" s="322"/>
      <c r="K88" s="322"/>
      <c r="L88" s="326"/>
    </row>
    <row r="89" spans="1:12" ht="13.5" x14ac:dyDescent="0.25">
      <c r="A89" s="321"/>
      <c r="B89" s="322"/>
      <c r="C89" s="323"/>
      <c r="D89" s="323"/>
      <c r="E89" s="324"/>
      <c r="F89" s="325"/>
      <c r="G89" s="322"/>
      <c r="H89" s="322"/>
      <c r="I89" s="322"/>
      <c r="J89" s="322"/>
      <c r="K89" s="322"/>
      <c r="L89" s="326"/>
    </row>
    <row r="90" spans="1:12" ht="13.5" x14ac:dyDescent="0.25">
      <c r="A90" s="321"/>
      <c r="B90" s="322"/>
      <c r="C90" s="323"/>
      <c r="D90" s="323"/>
      <c r="E90" s="324"/>
      <c r="F90" s="325"/>
      <c r="G90" s="322"/>
      <c r="H90" s="322"/>
      <c r="I90" s="322"/>
      <c r="J90" s="322"/>
      <c r="K90" s="322"/>
      <c r="L90" s="326"/>
    </row>
    <row r="91" spans="1:12" ht="13.5" x14ac:dyDescent="0.25">
      <c r="A91" s="321"/>
      <c r="B91" s="322"/>
      <c r="C91" s="323"/>
      <c r="D91" s="323"/>
      <c r="E91" s="324"/>
      <c r="F91" s="325"/>
      <c r="G91" s="322"/>
      <c r="H91" s="322"/>
      <c r="I91" s="322"/>
      <c r="J91" s="322"/>
      <c r="K91" s="322"/>
      <c r="L91" s="326"/>
    </row>
    <row r="92" spans="1:12" ht="13.5" x14ac:dyDescent="0.25">
      <c r="A92" s="321"/>
      <c r="B92" s="322"/>
      <c r="C92" s="323"/>
      <c r="D92" s="323"/>
      <c r="E92" s="324"/>
      <c r="F92" s="325"/>
      <c r="G92" s="322"/>
      <c r="H92" s="322"/>
      <c r="I92" s="322"/>
      <c r="J92" s="322"/>
      <c r="K92" s="322"/>
      <c r="L92" s="326"/>
    </row>
    <row r="93" spans="1:12" ht="13.5" x14ac:dyDescent="0.25">
      <c r="A93" s="321"/>
      <c r="B93" s="322"/>
      <c r="C93" s="323"/>
      <c r="D93" s="323"/>
      <c r="E93" s="324"/>
      <c r="F93" s="325"/>
      <c r="G93" s="322"/>
      <c r="H93" s="322"/>
      <c r="I93" s="322"/>
      <c r="J93" s="322"/>
      <c r="K93" s="322"/>
      <c r="L93" s="326"/>
    </row>
    <row r="94" spans="1:12" ht="13.5" x14ac:dyDescent="0.25">
      <c r="A94" s="321"/>
      <c r="B94" s="322"/>
      <c r="C94" s="323"/>
      <c r="D94" s="323"/>
      <c r="E94" s="324"/>
      <c r="F94" s="325"/>
      <c r="G94" s="322"/>
      <c r="H94" s="322"/>
      <c r="I94" s="322"/>
      <c r="J94" s="322"/>
      <c r="K94" s="322"/>
      <c r="L94" s="326"/>
    </row>
    <row r="95" spans="1:12" ht="13.5" x14ac:dyDescent="0.25">
      <c r="A95" s="321"/>
      <c r="B95" s="322"/>
      <c r="C95" s="323"/>
      <c r="D95" s="323"/>
      <c r="E95" s="324"/>
      <c r="F95" s="325"/>
      <c r="G95" s="322"/>
      <c r="H95" s="322"/>
      <c r="I95" s="322"/>
      <c r="J95" s="322"/>
      <c r="K95" s="322"/>
      <c r="L95" s="326"/>
    </row>
    <row r="96" spans="1:12" ht="14.25" thickBot="1" x14ac:dyDescent="0.3">
      <c r="A96" s="338"/>
      <c r="B96" s="339"/>
      <c r="C96" s="340"/>
      <c r="D96" s="340"/>
      <c r="E96" s="341"/>
      <c r="F96" s="342"/>
      <c r="G96" s="339"/>
      <c r="H96" s="339"/>
      <c r="I96" s="339"/>
      <c r="J96" s="339"/>
      <c r="K96" s="339"/>
      <c r="L96" s="343"/>
    </row>
    <row r="97" spans="1:12" ht="13.5" x14ac:dyDescent="0.25">
      <c r="A97" s="331"/>
      <c r="B97" s="332"/>
      <c r="C97" s="333"/>
      <c r="D97" s="333"/>
      <c r="E97" s="334"/>
      <c r="F97" s="335"/>
      <c r="G97" s="332"/>
      <c r="H97" s="332"/>
      <c r="I97" s="332"/>
      <c r="J97" s="332"/>
      <c r="K97" s="332"/>
      <c r="L97" s="332"/>
    </row>
    <row r="98" spans="1:12" ht="14.25" thickBot="1" x14ac:dyDescent="0.3">
      <c r="A98" s="331"/>
      <c r="B98" s="332"/>
      <c r="C98" s="333"/>
      <c r="D98" s="333"/>
      <c r="E98" s="334"/>
      <c r="F98" s="335"/>
      <c r="G98" s="332"/>
      <c r="H98" s="332"/>
      <c r="I98" s="332"/>
      <c r="J98" s="332"/>
      <c r="K98" s="332"/>
      <c r="L98" s="332"/>
    </row>
    <row r="99" spans="1:12" ht="30" x14ac:dyDescent="0.25">
      <c r="A99" s="593" t="s">
        <v>13</v>
      </c>
      <c r="B99" s="594"/>
      <c r="C99" s="594"/>
      <c r="D99" s="594"/>
      <c r="E99" s="594"/>
      <c r="F99" s="47"/>
      <c r="G99" s="48"/>
      <c r="H99" s="49"/>
      <c r="I99" s="49"/>
      <c r="J99" s="49"/>
      <c r="K99" s="49"/>
      <c r="L99" s="50"/>
    </row>
    <row r="100" spans="1:12" ht="25.5" customHeight="1" x14ac:dyDescent="0.25">
      <c r="A100" s="595" t="s">
        <v>142</v>
      </c>
      <c r="B100" s="596"/>
      <c r="C100" s="596"/>
      <c r="D100" s="596"/>
      <c r="E100" s="596"/>
      <c r="F100" s="53"/>
      <c r="G100" s="54"/>
      <c r="H100" s="55"/>
      <c r="I100" s="55"/>
      <c r="J100" s="55"/>
      <c r="K100" s="55"/>
      <c r="L100" s="56"/>
    </row>
    <row r="101" spans="1:12" ht="23.25" x14ac:dyDescent="0.25">
      <c r="A101" s="587" t="str">
        <f>A56</f>
        <v>COORDENAÇÃO DE ORÇAMENTO E PLANEJAMENTO</v>
      </c>
      <c r="B101" s="588"/>
      <c r="C101" s="588"/>
      <c r="D101" s="588"/>
      <c r="E101" s="588"/>
      <c r="F101" s="53"/>
      <c r="G101" s="54"/>
      <c r="H101" s="55"/>
      <c r="I101" s="55"/>
      <c r="J101" s="55"/>
      <c r="K101" s="55"/>
      <c r="L101" s="56"/>
    </row>
    <row r="102" spans="1:12" ht="20.25" x14ac:dyDescent="0.25">
      <c r="A102" s="70" t="s">
        <v>6</v>
      </c>
      <c r="B102" s="1"/>
      <c r="C102" s="2"/>
      <c r="D102" s="234"/>
      <c r="E102" s="336" t="s">
        <v>8</v>
      </c>
      <c r="F102" s="53"/>
      <c r="G102" s="54"/>
      <c r="H102" s="55"/>
      <c r="I102" s="55"/>
      <c r="J102" s="55"/>
      <c r="K102" s="55"/>
      <c r="L102" s="56"/>
    </row>
    <row r="103" spans="1:12" ht="40.15" customHeight="1" x14ac:dyDescent="0.3">
      <c r="A103" s="585" t="str">
        <f>A58</f>
        <v>Serviços de Recuperação de Ambientes no ICS</v>
      </c>
      <c r="B103" s="586"/>
      <c r="C103" s="586"/>
      <c r="D103" s="586"/>
      <c r="E103" s="589" t="str">
        <f>E58</f>
        <v>JANEIRO/2021</v>
      </c>
      <c r="F103" s="589"/>
      <c r="G103" s="54"/>
      <c r="H103" s="55"/>
      <c r="I103" s="55"/>
      <c r="J103" s="55"/>
      <c r="K103" s="55"/>
      <c r="L103" s="56"/>
    </row>
    <row r="104" spans="1:12" ht="40.5" x14ac:dyDescent="0.3">
      <c r="A104" s="590" t="s">
        <v>7</v>
      </c>
      <c r="B104" s="591"/>
      <c r="C104" s="2"/>
      <c r="D104" s="294"/>
      <c r="E104" s="337" t="s">
        <v>16</v>
      </c>
      <c r="F104" s="53"/>
      <c r="G104" s="592" t="s">
        <v>17</v>
      </c>
      <c r="H104" s="592"/>
      <c r="I104" s="305"/>
      <c r="J104" s="305" t="s">
        <v>18</v>
      </c>
      <c r="K104" s="55"/>
      <c r="L104" s="349" t="s">
        <v>489</v>
      </c>
    </row>
    <row r="105" spans="1:12" ht="21" thickBot="1" x14ac:dyDescent="0.35">
      <c r="A105" s="306" t="str">
        <f>A60</f>
        <v>Campus Universitário do Canela - Salvador - Bahia</v>
      </c>
      <c r="B105" s="306"/>
      <c r="C105" s="298"/>
      <c r="D105" s="299"/>
      <c r="E105" s="584">
        <f>E7</f>
        <v>54.86</v>
      </c>
      <c r="F105" s="584"/>
      <c r="G105" s="584">
        <f>G7</f>
        <v>142427.99056982377</v>
      </c>
      <c r="H105" s="584"/>
      <c r="I105" s="308"/>
      <c r="J105" s="308">
        <f>J7</f>
        <v>2596.2083589103859</v>
      </c>
      <c r="K105" s="300"/>
      <c r="L105" s="346">
        <f>L7</f>
        <v>2</v>
      </c>
    </row>
    <row r="106" spans="1:12" ht="14.25" thickBot="1" x14ac:dyDescent="0.3">
      <c r="A106" s="309"/>
      <c r="B106" s="310"/>
      <c r="C106" s="311"/>
      <c r="D106" s="311"/>
      <c r="E106" s="312"/>
      <c r="F106" s="313"/>
      <c r="G106" s="310"/>
      <c r="H106" s="310"/>
      <c r="I106" s="310"/>
      <c r="J106" s="310"/>
      <c r="K106" s="310"/>
      <c r="L106" s="314"/>
    </row>
    <row r="107" spans="1:12" ht="13.5" x14ac:dyDescent="0.25">
      <c r="A107" s="315"/>
      <c r="B107" s="316"/>
      <c r="C107" s="317"/>
      <c r="D107" s="317"/>
      <c r="E107" s="318"/>
      <c r="F107" s="319"/>
      <c r="G107" s="316"/>
      <c r="H107" s="316"/>
      <c r="I107" s="316"/>
      <c r="J107" s="316"/>
      <c r="K107" s="316"/>
      <c r="L107" s="320"/>
    </row>
    <row r="108" spans="1:12" ht="13.5" x14ac:dyDescent="0.25">
      <c r="A108" s="321"/>
      <c r="B108" s="322"/>
      <c r="C108" s="323"/>
      <c r="D108" s="323"/>
      <c r="E108" s="324"/>
      <c r="F108" s="325"/>
      <c r="G108" s="322"/>
      <c r="H108" s="322"/>
      <c r="I108" s="322"/>
      <c r="J108" s="322"/>
      <c r="K108" s="322"/>
      <c r="L108" s="326"/>
    </row>
    <row r="109" spans="1:12" ht="13.5" x14ac:dyDescent="0.25">
      <c r="A109" s="321"/>
      <c r="B109" s="322"/>
      <c r="C109" s="323"/>
      <c r="D109" s="323"/>
      <c r="E109" s="324"/>
      <c r="F109" s="325"/>
      <c r="G109" s="322"/>
      <c r="H109" s="322"/>
      <c r="I109" s="322"/>
      <c r="J109" s="322"/>
      <c r="K109" s="322"/>
      <c r="L109" s="326"/>
    </row>
    <row r="110" spans="1:12" ht="13.5" x14ac:dyDescent="0.25">
      <c r="A110" s="321"/>
      <c r="B110" s="322"/>
      <c r="C110" s="323"/>
      <c r="D110" s="323"/>
      <c r="E110" s="324"/>
      <c r="F110" s="325"/>
      <c r="G110" s="322"/>
      <c r="H110" s="322"/>
      <c r="I110" s="322"/>
      <c r="J110" s="322"/>
      <c r="K110" s="322"/>
      <c r="L110" s="326"/>
    </row>
    <row r="111" spans="1:12" ht="13.5" x14ac:dyDescent="0.25">
      <c r="A111" s="321"/>
      <c r="B111" s="322"/>
      <c r="C111" s="323"/>
      <c r="D111" s="323"/>
      <c r="E111" s="324"/>
      <c r="F111" s="325"/>
      <c r="G111" s="322"/>
      <c r="H111" s="322"/>
      <c r="I111" s="322"/>
      <c r="J111" s="322"/>
      <c r="K111" s="322"/>
      <c r="L111" s="326"/>
    </row>
    <row r="112" spans="1:12" ht="13.5" x14ac:dyDescent="0.25">
      <c r="A112" s="321"/>
      <c r="B112" s="322"/>
      <c r="C112" s="323"/>
      <c r="D112" s="323"/>
      <c r="E112" s="324"/>
      <c r="F112" s="325"/>
      <c r="G112" s="322"/>
      <c r="H112" s="322"/>
      <c r="I112" s="322"/>
      <c r="J112" s="322"/>
      <c r="K112" s="322"/>
      <c r="L112" s="326"/>
    </row>
    <row r="113" spans="1:12" ht="13.5" x14ac:dyDescent="0.25">
      <c r="A113" s="321"/>
      <c r="B113" s="322"/>
      <c r="C113" s="323"/>
      <c r="D113" s="323"/>
      <c r="E113" s="324"/>
      <c r="F113" s="325"/>
      <c r="G113" s="322"/>
      <c r="H113" s="322"/>
      <c r="I113" s="322"/>
      <c r="J113" s="322"/>
      <c r="K113" s="322"/>
      <c r="L113" s="326"/>
    </row>
    <row r="114" spans="1:12" ht="13.5" x14ac:dyDescent="0.25">
      <c r="A114" s="321"/>
      <c r="B114" s="322"/>
      <c r="C114" s="323"/>
      <c r="D114" s="323"/>
      <c r="E114" s="324"/>
      <c r="F114" s="325"/>
      <c r="G114" s="322"/>
      <c r="H114" s="322"/>
      <c r="I114" s="322"/>
      <c r="J114" s="322"/>
      <c r="K114" s="322"/>
      <c r="L114" s="326"/>
    </row>
    <row r="115" spans="1:12" ht="13.5" x14ac:dyDescent="0.25">
      <c r="A115" s="321"/>
      <c r="B115" s="322"/>
      <c r="C115" s="323"/>
      <c r="D115" s="323"/>
      <c r="E115" s="324"/>
      <c r="F115" s="325"/>
      <c r="G115" s="322"/>
      <c r="H115" s="322"/>
      <c r="I115" s="322"/>
      <c r="J115" s="322"/>
      <c r="K115" s="322"/>
      <c r="L115" s="326"/>
    </row>
    <row r="116" spans="1:12" ht="13.5" x14ac:dyDescent="0.25">
      <c r="A116" s="321"/>
      <c r="B116" s="322"/>
      <c r="C116" s="323"/>
      <c r="D116" s="323"/>
      <c r="E116" s="324"/>
      <c r="F116" s="325"/>
      <c r="G116" s="322"/>
      <c r="H116" s="322"/>
      <c r="I116" s="322"/>
      <c r="J116" s="322"/>
      <c r="K116" s="322"/>
      <c r="L116" s="326"/>
    </row>
    <row r="117" spans="1:12" ht="13.5" x14ac:dyDescent="0.25">
      <c r="A117" s="321"/>
      <c r="B117" s="322"/>
      <c r="C117" s="323"/>
      <c r="D117" s="323"/>
      <c r="E117" s="324"/>
      <c r="F117" s="325"/>
      <c r="G117" s="322"/>
      <c r="H117" s="322"/>
      <c r="I117" s="322"/>
      <c r="J117" s="322"/>
      <c r="K117" s="322"/>
      <c r="L117" s="326"/>
    </row>
    <row r="118" spans="1:12" ht="13.5" x14ac:dyDescent="0.25">
      <c r="A118" s="321"/>
      <c r="B118" s="322"/>
      <c r="C118" s="323"/>
      <c r="D118" s="323"/>
      <c r="E118" s="324"/>
      <c r="F118" s="325"/>
      <c r="G118" s="322"/>
      <c r="H118" s="322"/>
      <c r="I118" s="322"/>
      <c r="J118" s="322"/>
      <c r="K118" s="322"/>
      <c r="L118" s="326"/>
    </row>
    <row r="119" spans="1:12" ht="13.5" x14ac:dyDescent="0.25">
      <c r="A119" s="321"/>
      <c r="B119" s="322"/>
      <c r="C119" s="323"/>
      <c r="D119" s="323"/>
      <c r="E119" s="324"/>
      <c r="F119" s="325"/>
      <c r="G119" s="322"/>
      <c r="H119" s="322"/>
      <c r="I119" s="322"/>
      <c r="J119" s="322"/>
      <c r="K119" s="322"/>
      <c r="L119" s="326"/>
    </row>
    <row r="120" spans="1:12" ht="13.5" x14ac:dyDescent="0.25">
      <c r="A120" s="321"/>
      <c r="B120" s="322"/>
      <c r="C120" s="323"/>
      <c r="D120" s="323"/>
      <c r="E120" s="324"/>
      <c r="F120" s="325"/>
      <c r="G120" s="322"/>
      <c r="H120" s="322"/>
      <c r="I120" s="322"/>
      <c r="J120" s="322"/>
      <c r="K120" s="322"/>
      <c r="L120" s="326"/>
    </row>
    <row r="121" spans="1:12" ht="13.5" x14ac:dyDescent="0.25">
      <c r="A121" s="321"/>
      <c r="B121" s="322"/>
      <c r="C121" s="323"/>
      <c r="D121" s="323"/>
      <c r="E121" s="324"/>
      <c r="F121" s="325"/>
      <c r="G121" s="322"/>
      <c r="H121" s="322"/>
      <c r="I121" s="322"/>
      <c r="J121" s="322"/>
      <c r="K121" s="322"/>
      <c r="L121" s="326"/>
    </row>
    <row r="122" spans="1:12" ht="13.5" x14ac:dyDescent="0.25">
      <c r="A122" s="321"/>
      <c r="B122" s="322"/>
      <c r="C122" s="323"/>
      <c r="D122" s="323"/>
      <c r="E122" s="324"/>
      <c r="F122" s="325"/>
      <c r="G122" s="322"/>
      <c r="H122" s="322"/>
      <c r="I122" s="322"/>
      <c r="J122" s="322"/>
      <c r="K122" s="322"/>
      <c r="L122" s="326"/>
    </row>
    <row r="123" spans="1:12" ht="13.5" x14ac:dyDescent="0.25">
      <c r="A123" s="321"/>
      <c r="B123" s="322"/>
      <c r="C123" s="323"/>
      <c r="D123" s="323"/>
      <c r="E123" s="324"/>
      <c r="F123" s="325"/>
      <c r="G123" s="322"/>
      <c r="H123" s="322"/>
      <c r="I123" s="322"/>
      <c r="J123" s="322"/>
      <c r="K123" s="322"/>
      <c r="L123" s="326"/>
    </row>
    <row r="124" spans="1:12" ht="13.5" x14ac:dyDescent="0.25">
      <c r="A124" s="321"/>
      <c r="B124" s="322"/>
      <c r="C124" s="323"/>
      <c r="D124" s="323"/>
      <c r="E124" s="324"/>
      <c r="F124" s="325"/>
      <c r="G124" s="322"/>
      <c r="H124" s="322"/>
      <c r="I124" s="322"/>
      <c r="J124" s="322"/>
      <c r="K124" s="322"/>
      <c r="L124" s="326"/>
    </row>
    <row r="125" spans="1:12" ht="13.5" x14ac:dyDescent="0.25">
      <c r="A125" s="321"/>
      <c r="B125" s="322"/>
      <c r="C125" s="323"/>
      <c r="D125" s="323"/>
      <c r="E125" s="324"/>
      <c r="F125" s="325"/>
      <c r="G125" s="322"/>
      <c r="H125" s="322"/>
      <c r="I125" s="322"/>
      <c r="J125" s="322"/>
      <c r="K125" s="322"/>
      <c r="L125" s="326"/>
    </row>
    <row r="126" spans="1:12" ht="13.5" x14ac:dyDescent="0.25">
      <c r="A126" s="321"/>
      <c r="B126" s="322"/>
      <c r="C126" s="323"/>
      <c r="D126" s="323"/>
      <c r="E126" s="324"/>
      <c r="F126" s="325"/>
      <c r="G126" s="322"/>
      <c r="H126" s="322"/>
      <c r="I126" s="322"/>
      <c r="J126" s="322"/>
      <c r="K126" s="322"/>
      <c r="L126" s="326"/>
    </row>
    <row r="127" spans="1:12" ht="13.5" x14ac:dyDescent="0.25">
      <c r="A127" s="321"/>
      <c r="B127" s="322"/>
      <c r="C127" s="323"/>
      <c r="D127" s="323"/>
      <c r="E127" s="324"/>
      <c r="F127" s="325"/>
      <c r="G127" s="322"/>
      <c r="H127" s="322"/>
      <c r="I127" s="322"/>
      <c r="J127" s="322"/>
      <c r="K127" s="322"/>
      <c r="L127" s="326"/>
    </row>
    <row r="128" spans="1:12" ht="13.5" x14ac:dyDescent="0.25">
      <c r="A128" s="321"/>
      <c r="B128" s="322"/>
      <c r="C128" s="323"/>
      <c r="D128" s="323"/>
      <c r="E128" s="324"/>
      <c r="F128" s="325"/>
      <c r="G128" s="322"/>
      <c r="H128" s="322"/>
      <c r="I128" s="322"/>
      <c r="J128" s="322"/>
      <c r="K128" s="322"/>
      <c r="L128" s="326"/>
    </row>
    <row r="129" spans="1:12" ht="13.5" x14ac:dyDescent="0.25">
      <c r="A129" s="321"/>
      <c r="B129" s="322"/>
      <c r="C129" s="323"/>
      <c r="D129" s="323"/>
      <c r="E129" s="324"/>
      <c r="F129" s="325"/>
      <c r="G129" s="322"/>
      <c r="H129" s="322"/>
      <c r="I129" s="322"/>
      <c r="J129" s="322"/>
      <c r="K129" s="322"/>
      <c r="L129" s="326"/>
    </row>
    <row r="130" spans="1:12" ht="13.5" x14ac:dyDescent="0.25">
      <c r="A130" s="321"/>
      <c r="B130" s="322"/>
      <c r="C130" s="323"/>
      <c r="D130" s="323"/>
      <c r="E130" s="324"/>
      <c r="F130" s="325"/>
      <c r="G130" s="322"/>
      <c r="H130" s="322"/>
      <c r="I130" s="322"/>
      <c r="J130" s="322"/>
      <c r="K130" s="322"/>
      <c r="L130" s="326"/>
    </row>
    <row r="131" spans="1:12" ht="13.5" x14ac:dyDescent="0.25">
      <c r="A131" s="321"/>
      <c r="B131" s="322"/>
      <c r="C131" s="323"/>
      <c r="D131" s="323"/>
      <c r="E131" s="324"/>
      <c r="F131" s="325"/>
      <c r="G131" s="322"/>
      <c r="H131" s="322"/>
      <c r="I131" s="322"/>
      <c r="J131" s="322"/>
      <c r="K131" s="322"/>
      <c r="L131" s="326"/>
    </row>
    <row r="132" spans="1:12" ht="13.5" x14ac:dyDescent="0.25">
      <c r="A132" s="321"/>
      <c r="B132" s="322"/>
      <c r="C132" s="323"/>
      <c r="D132" s="323"/>
      <c r="E132" s="324"/>
      <c r="F132" s="325"/>
      <c r="G132" s="322"/>
      <c r="H132" s="322"/>
      <c r="I132" s="322"/>
      <c r="J132" s="322"/>
      <c r="K132" s="322"/>
      <c r="L132" s="326"/>
    </row>
    <row r="133" spans="1:12" ht="13.5" x14ac:dyDescent="0.25">
      <c r="A133" s="321"/>
      <c r="B133" s="322"/>
      <c r="C133" s="323"/>
      <c r="D133" s="323"/>
      <c r="E133" s="324"/>
      <c r="F133" s="325"/>
      <c r="G133" s="322"/>
      <c r="H133" s="322"/>
      <c r="I133" s="322"/>
      <c r="J133" s="322"/>
      <c r="K133" s="322"/>
      <c r="L133" s="326"/>
    </row>
    <row r="134" spans="1:12" ht="13.5" x14ac:dyDescent="0.25">
      <c r="A134" s="321"/>
      <c r="B134" s="322"/>
      <c r="C134" s="323"/>
      <c r="D134" s="323"/>
      <c r="E134" s="324"/>
      <c r="F134" s="325"/>
      <c r="G134" s="322"/>
      <c r="H134" s="322"/>
      <c r="I134" s="322"/>
      <c r="J134" s="322"/>
      <c r="K134" s="322"/>
      <c r="L134" s="326"/>
    </row>
    <row r="135" spans="1:12" ht="13.5" x14ac:dyDescent="0.25">
      <c r="A135" s="321"/>
      <c r="B135" s="322"/>
      <c r="C135" s="323"/>
      <c r="D135" s="323"/>
      <c r="E135" s="324"/>
      <c r="F135" s="325"/>
      <c r="G135" s="322"/>
      <c r="H135" s="322"/>
      <c r="I135" s="322"/>
      <c r="J135" s="322"/>
      <c r="K135" s="322"/>
      <c r="L135" s="326"/>
    </row>
    <row r="136" spans="1:12" ht="13.5" x14ac:dyDescent="0.25">
      <c r="A136" s="321"/>
      <c r="B136" s="322"/>
      <c r="C136" s="323"/>
      <c r="D136" s="323"/>
      <c r="E136" s="324"/>
      <c r="F136" s="325"/>
      <c r="G136" s="322"/>
      <c r="H136" s="322"/>
      <c r="I136" s="322"/>
      <c r="J136" s="322"/>
      <c r="K136" s="322"/>
      <c r="L136" s="326"/>
    </row>
    <row r="137" spans="1:12" ht="13.5" x14ac:dyDescent="0.25">
      <c r="A137" s="321"/>
      <c r="B137" s="322"/>
      <c r="C137" s="323"/>
      <c r="D137" s="323"/>
      <c r="E137" s="324"/>
      <c r="F137" s="325"/>
      <c r="G137" s="322"/>
      <c r="H137" s="322"/>
      <c r="I137" s="322"/>
      <c r="J137" s="322"/>
      <c r="K137" s="322"/>
      <c r="L137" s="326"/>
    </row>
    <row r="138" spans="1:12" ht="13.5" x14ac:dyDescent="0.25">
      <c r="A138" s="321"/>
      <c r="B138" s="322"/>
      <c r="C138" s="323"/>
      <c r="D138" s="323"/>
      <c r="E138" s="324"/>
      <c r="F138" s="325"/>
      <c r="G138" s="322"/>
      <c r="H138" s="322"/>
      <c r="I138" s="322"/>
      <c r="J138" s="322"/>
      <c r="K138" s="322"/>
      <c r="L138" s="326"/>
    </row>
    <row r="139" spans="1:12" ht="13.5" x14ac:dyDescent="0.25">
      <c r="A139" s="321"/>
      <c r="B139" s="322"/>
      <c r="C139" s="323"/>
      <c r="D139" s="323"/>
      <c r="E139" s="324"/>
      <c r="F139" s="325"/>
      <c r="G139" s="322"/>
      <c r="H139" s="322"/>
      <c r="I139" s="322"/>
      <c r="J139" s="322"/>
      <c r="K139" s="322"/>
      <c r="L139" s="326"/>
    </row>
    <row r="140" spans="1:12" ht="13.5" x14ac:dyDescent="0.25">
      <c r="A140" s="321"/>
      <c r="B140" s="322"/>
      <c r="C140" s="323"/>
      <c r="D140" s="323"/>
      <c r="E140" s="324"/>
      <c r="F140" s="325"/>
      <c r="G140" s="322"/>
      <c r="H140" s="322"/>
      <c r="I140" s="322"/>
      <c r="J140" s="322"/>
      <c r="K140" s="322"/>
      <c r="L140" s="326"/>
    </row>
    <row r="141" spans="1:12" ht="14.25" thickBot="1" x14ac:dyDescent="0.3">
      <c r="A141" s="338"/>
      <c r="B141" s="339"/>
      <c r="C141" s="340"/>
      <c r="D141" s="340"/>
      <c r="E141" s="341"/>
      <c r="F141" s="342"/>
      <c r="G141" s="339"/>
      <c r="H141" s="339"/>
      <c r="I141" s="339"/>
      <c r="J141" s="339"/>
      <c r="K141" s="339"/>
      <c r="L141" s="343"/>
    </row>
    <row r="142" spans="1:12" ht="13.5" x14ac:dyDescent="0.25">
      <c r="A142" s="331"/>
      <c r="B142" s="332"/>
      <c r="C142" s="344"/>
      <c r="D142" s="333"/>
      <c r="E142" s="334"/>
      <c r="F142" s="335"/>
      <c r="G142" s="332"/>
      <c r="H142" s="332"/>
      <c r="I142" s="332"/>
      <c r="J142" s="332"/>
      <c r="K142" s="332"/>
      <c r="L142" s="332"/>
    </row>
    <row r="143" spans="1:12" ht="13.5" x14ac:dyDescent="0.25">
      <c r="A143" s="331"/>
      <c r="B143" s="332"/>
      <c r="C143" s="333"/>
      <c r="D143" s="333"/>
      <c r="E143" s="334"/>
      <c r="F143" s="335"/>
      <c r="G143" s="332"/>
      <c r="H143" s="332"/>
      <c r="I143" s="332"/>
      <c r="J143" s="332"/>
      <c r="K143" s="332"/>
      <c r="L143" s="332"/>
    </row>
    <row r="144" spans="1:12" ht="13.5" x14ac:dyDescent="0.25">
      <c r="A144" s="331"/>
      <c r="B144" s="332"/>
      <c r="C144" s="333"/>
      <c r="D144" s="333"/>
      <c r="E144" s="334"/>
      <c r="F144" s="335"/>
      <c r="G144" s="332"/>
      <c r="H144" s="332"/>
      <c r="I144" s="332"/>
      <c r="J144" s="332"/>
      <c r="K144" s="332"/>
      <c r="L144" s="332"/>
    </row>
    <row r="145" spans="1:12" ht="13.5" x14ac:dyDescent="0.25">
      <c r="A145" s="331"/>
      <c r="B145" s="332"/>
      <c r="C145" s="333"/>
      <c r="D145" s="333"/>
      <c r="E145" s="334"/>
      <c r="F145" s="335"/>
      <c r="G145" s="332"/>
      <c r="H145" s="332"/>
      <c r="I145" s="332"/>
      <c r="J145" s="332"/>
      <c r="K145" s="332"/>
      <c r="L145" s="332"/>
    </row>
    <row r="146" spans="1:12" ht="13.5" x14ac:dyDescent="0.25">
      <c r="A146" s="331"/>
      <c r="B146" s="332"/>
      <c r="C146" s="333"/>
      <c r="D146" s="333"/>
      <c r="E146" s="334"/>
      <c r="F146" s="335"/>
      <c r="G146" s="332"/>
      <c r="H146" s="332"/>
      <c r="I146" s="332"/>
      <c r="J146" s="332"/>
      <c r="K146" s="332"/>
      <c r="L146" s="332"/>
    </row>
    <row r="147" spans="1:12" ht="13.5" x14ac:dyDescent="0.25">
      <c r="A147" s="331"/>
      <c r="B147" s="332"/>
      <c r="C147" s="333"/>
      <c r="D147" s="333"/>
      <c r="E147" s="334"/>
      <c r="F147" s="335"/>
      <c r="G147" s="332"/>
      <c r="H147" s="332"/>
      <c r="I147" s="332"/>
      <c r="J147" s="332"/>
      <c r="K147" s="332"/>
      <c r="L147" s="332"/>
    </row>
    <row r="148" spans="1:12" ht="13.5" x14ac:dyDescent="0.25">
      <c r="A148" s="331"/>
      <c r="B148" s="332"/>
      <c r="C148" s="333"/>
      <c r="D148" s="333"/>
      <c r="E148" s="334"/>
      <c r="F148" s="335"/>
      <c r="G148" s="332"/>
      <c r="H148" s="332"/>
      <c r="I148" s="332"/>
      <c r="J148" s="332"/>
      <c r="K148" s="332"/>
      <c r="L148" s="332"/>
    </row>
    <row r="149" spans="1:12" ht="13.5" x14ac:dyDescent="0.25">
      <c r="A149" s="331"/>
      <c r="B149" s="332"/>
      <c r="C149" s="333"/>
      <c r="D149" s="333"/>
      <c r="E149" s="334"/>
      <c r="F149" s="335"/>
      <c r="G149" s="332"/>
      <c r="H149" s="332"/>
      <c r="I149" s="332"/>
      <c r="J149" s="332"/>
      <c r="K149" s="332"/>
      <c r="L149" s="332"/>
    </row>
    <row r="150" spans="1:12" ht="13.5" x14ac:dyDescent="0.25">
      <c r="A150" s="331"/>
      <c r="B150" s="332"/>
      <c r="C150" s="333"/>
      <c r="D150" s="333"/>
      <c r="E150" s="334"/>
      <c r="F150" s="335"/>
      <c r="G150" s="332"/>
      <c r="H150" s="332"/>
      <c r="I150" s="332"/>
      <c r="J150" s="332"/>
      <c r="K150" s="332"/>
      <c r="L150" s="332"/>
    </row>
    <row r="151" spans="1:12" ht="13.5" x14ac:dyDescent="0.25">
      <c r="A151" s="331"/>
      <c r="B151" s="332"/>
      <c r="C151" s="333"/>
      <c r="D151" s="333"/>
      <c r="E151" s="334"/>
      <c r="F151" s="335"/>
      <c r="G151" s="332"/>
      <c r="H151" s="332"/>
      <c r="I151" s="332"/>
      <c r="J151" s="332"/>
      <c r="K151" s="332"/>
      <c r="L151" s="332"/>
    </row>
    <row r="152" spans="1:12" ht="13.5" x14ac:dyDescent="0.25">
      <c r="A152" s="331"/>
      <c r="B152" s="332"/>
      <c r="C152" s="333"/>
      <c r="D152" s="333"/>
      <c r="E152" s="334"/>
      <c r="F152" s="335"/>
      <c r="G152" s="332"/>
      <c r="H152" s="332"/>
      <c r="I152" s="332"/>
      <c r="J152" s="332"/>
      <c r="K152" s="332"/>
      <c r="L152" s="332"/>
    </row>
    <row r="153" spans="1:12" ht="13.5" x14ac:dyDescent="0.25">
      <c r="A153" s="331"/>
      <c r="B153" s="332"/>
      <c r="C153" s="333"/>
      <c r="D153" s="333"/>
      <c r="E153" s="334"/>
      <c r="F153" s="335"/>
      <c r="G153" s="332"/>
      <c r="H153" s="332"/>
      <c r="I153" s="332"/>
      <c r="J153" s="332"/>
      <c r="K153" s="332"/>
      <c r="L153" s="332"/>
    </row>
    <row r="154" spans="1:12" ht="13.5" x14ac:dyDescent="0.25">
      <c r="A154" s="331"/>
      <c r="B154" s="332"/>
      <c r="C154" s="333"/>
      <c r="D154" s="333"/>
      <c r="E154" s="334"/>
      <c r="F154" s="335"/>
      <c r="G154" s="332"/>
      <c r="H154" s="332"/>
      <c r="I154" s="332"/>
      <c r="J154" s="332"/>
      <c r="K154" s="332"/>
      <c r="L154" s="332"/>
    </row>
    <row r="155" spans="1:12" ht="13.5" x14ac:dyDescent="0.25">
      <c r="A155" s="331"/>
      <c r="B155" s="332"/>
      <c r="C155" s="333"/>
      <c r="D155" s="333"/>
      <c r="E155" s="334"/>
      <c r="F155" s="335"/>
      <c r="G155" s="332"/>
      <c r="H155" s="332"/>
      <c r="I155" s="332"/>
      <c r="J155" s="332"/>
      <c r="K155" s="332"/>
      <c r="L155" s="332"/>
    </row>
    <row r="156" spans="1:12" ht="13.5" x14ac:dyDescent="0.25">
      <c r="A156" s="331"/>
      <c r="B156" s="332"/>
      <c r="C156" s="333"/>
      <c r="D156" s="333"/>
      <c r="E156" s="334"/>
      <c r="F156" s="335"/>
      <c r="G156" s="332"/>
      <c r="H156" s="332"/>
      <c r="I156" s="332"/>
      <c r="J156" s="332"/>
      <c r="K156" s="332"/>
      <c r="L156" s="332"/>
    </row>
    <row r="157" spans="1:12" ht="13.5" x14ac:dyDescent="0.25">
      <c r="A157" s="331"/>
      <c r="B157" s="332"/>
      <c r="C157" s="333"/>
      <c r="D157" s="333"/>
      <c r="E157" s="334"/>
      <c r="F157" s="335"/>
      <c r="G157" s="332"/>
      <c r="H157" s="332"/>
      <c r="I157" s="332"/>
      <c r="J157" s="332"/>
      <c r="K157" s="332"/>
      <c r="L157" s="332"/>
    </row>
    <row r="158" spans="1:12" ht="13.5" x14ac:dyDescent="0.25">
      <c r="A158" s="331"/>
      <c r="B158" s="332"/>
      <c r="C158" s="333"/>
      <c r="D158" s="333"/>
      <c r="E158" s="334"/>
      <c r="F158" s="335"/>
      <c r="G158" s="332"/>
      <c r="H158" s="332"/>
      <c r="I158" s="332"/>
      <c r="J158" s="332"/>
      <c r="K158" s="332"/>
      <c r="L158" s="332"/>
    </row>
    <row r="159" spans="1:12" ht="13.5" x14ac:dyDescent="0.25">
      <c r="A159" s="331"/>
      <c r="B159" s="332"/>
      <c r="C159" s="333"/>
      <c r="D159" s="333"/>
      <c r="E159" s="334"/>
      <c r="F159" s="335"/>
      <c r="G159" s="332"/>
      <c r="H159" s="332"/>
      <c r="I159" s="332"/>
      <c r="J159" s="332"/>
      <c r="K159" s="332"/>
      <c r="L159" s="332"/>
    </row>
    <row r="160" spans="1:12" ht="13.5" x14ac:dyDescent="0.25">
      <c r="A160" s="331"/>
      <c r="B160" s="332"/>
      <c r="C160" s="333"/>
      <c r="D160" s="333"/>
      <c r="E160" s="334"/>
      <c r="F160" s="335"/>
      <c r="G160" s="332"/>
      <c r="H160" s="332"/>
      <c r="I160" s="332"/>
      <c r="J160" s="332"/>
      <c r="K160" s="332"/>
      <c r="L160" s="332"/>
    </row>
    <row r="161" spans="1:12" ht="13.5" x14ac:dyDescent="0.25">
      <c r="A161" s="331"/>
      <c r="B161" s="332"/>
      <c r="C161" s="333"/>
      <c r="D161" s="333"/>
      <c r="E161" s="334"/>
      <c r="F161" s="335"/>
      <c r="G161" s="332"/>
      <c r="H161" s="332"/>
      <c r="I161" s="332"/>
      <c r="J161" s="332"/>
      <c r="K161" s="332"/>
      <c r="L161" s="332"/>
    </row>
    <row r="162" spans="1:12" ht="13.5" x14ac:dyDescent="0.25">
      <c r="A162" s="331"/>
      <c r="B162" s="332"/>
      <c r="C162" s="333"/>
      <c r="D162" s="333"/>
      <c r="E162" s="334"/>
      <c r="F162" s="335"/>
      <c r="G162" s="332"/>
      <c r="H162" s="332"/>
      <c r="I162" s="332"/>
      <c r="J162" s="332"/>
      <c r="K162" s="332"/>
      <c r="L162" s="332"/>
    </row>
    <row r="163" spans="1:12" ht="13.5" x14ac:dyDescent="0.25">
      <c r="A163" s="331"/>
      <c r="B163" s="332"/>
      <c r="C163" s="333"/>
      <c r="D163" s="333"/>
      <c r="E163" s="334"/>
      <c r="F163" s="335"/>
      <c r="G163" s="332"/>
      <c r="H163" s="332"/>
      <c r="I163" s="332"/>
      <c r="J163" s="332"/>
      <c r="K163" s="332"/>
      <c r="L163" s="332"/>
    </row>
    <row r="164" spans="1:12" ht="13.5" x14ac:dyDescent="0.25">
      <c r="A164" s="331"/>
      <c r="B164" s="332"/>
      <c r="C164" s="333"/>
      <c r="D164" s="333"/>
      <c r="E164" s="334"/>
      <c r="F164" s="335"/>
      <c r="G164" s="332"/>
      <c r="H164" s="332"/>
      <c r="I164" s="332"/>
      <c r="J164" s="332"/>
      <c r="K164" s="332"/>
      <c r="L164" s="332"/>
    </row>
    <row r="165" spans="1:12" ht="13.5" x14ac:dyDescent="0.25">
      <c r="A165" s="331"/>
      <c r="B165" s="332"/>
      <c r="C165" s="333"/>
      <c r="D165" s="333"/>
      <c r="E165" s="334"/>
      <c r="F165" s="335"/>
      <c r="G165" s="332"/>
      <c r="H165" s="332"/>
      <c r="I165" s="332"/>
      <c r="J165" s="332"/>
      <c r="K165" s="332"/>
      <c r="L165" s="332"/>
    </row>
  </sheetData>
  <mergeCells count="47">
    <mergeCell ref="A8:L8"/>
    <mergeCell ref="G21:H21"/>
    <mergeCell ref="K21:L21"/>
    <mergeCell ref="G6:H6"/>
    <mergeCell ref="G7:H7"/>
    <mergeCell ref="A6:B6"/>
    <mergeCell ref="K9:L9"/>
    <mergeCell ref="A9:A10"/>
    <mergeCell ref="B9:B10"/>
    <mergeCell ref="C9:C10"/>
    <mergeCell ref="A21:A22"/>
    <mergeCell ref="B21:B22"/>
    <mergeCell ref="C21:C22"/>
    <mergeCell ref="D21:D22"/>
    <mergeCell ref="E21:E22"/>
    <mergeCell ref="A1:E1"/>
    <mergeCell ref="A2:E2"/>
    <mergeCell ref="A3:E3"/>
    <mergeCell ref="A5:D5"/>
    <mergeCell ref="E5:F5"/>
    <mergeCell ref="A59:B59"/>
    <mergeCell ref="E59:F59"/>
    <mergeCell ref="A58:D58"/>
    <mergeCell ref="I9:J9"/>
    <mergeCell ref="I21:J21"/>
    <mergeCell ref="D9:D10"/>
    <mergeCell ref="E9:E10"/>
    <mergeCell ref="F9:F10"/>
    <mergeCell ref="A55:E55"/>
    <mergeCell ref="A56:E56"/>
    <mergeCell ref="G59:H59"/>
    <mergeCell ref="E57:F57"/>
    <mergeCell ref="E58:F58"/>
    <mergeCell ref="F21:F22"/>
    <mergeCell ref="G9:H9"/>
    <mergeCell ref="A54:E54"/>
    <mergeCell ref="G60:H60"/>
    <mergeCell ref="A103:D103"/>
    <mergeCell ref="E105:F105"/>
    <mergeCell ref="G105:H105"/>
    <mergeCell ref="A101:E101"/>
    <mergeCell ref="E103:F103"/>
    <mergeCell ref="A104:B104"/>
    <mergeCell ref="G104:H104"/>
    <mergeCell ref="A99:E99"/>
    <mergeCell ref="A100:E100"/>
    <mergeCell ref="E60:F60"/>
  </mergeCells>
  <conditionalFormatting sqref="N28">
    <cfRule type="cellIs" dxfId="3" priority="2" stopIfTrue="1" operator="equal">
      <formula>0</formula>
    </cfRule>
    <cfRule type="cellIs" dxfId="2" priority="3" stopIfTrue="1" operator="notEqual">
      <formula>0</formula>
    </cfRule>
  </conditionalFormatting>
  <conditionalFormatting sqref="G7:H7">
    <cfRule type="cellIs" dxfId="1" priority="1" stopIfTrue="1" operator="notEqual">
      <formula>$F$27</formula>
    </cfRule>
  </conditionalFormatting>
  <printOptions horizontalCentered="1" verticalCentered="1"/>
  <pageMargins left="0.39370078740157483" right="0.39370078740157483" top="0.39370078740157483" bottom="0.39370078740157483" header="0.51181102362204722" footer="0.11811023622047245"/>
  <pageSetup paperSize="9" scale="57" fitToWidth="0" orientation="landscape" horizontalDpi="4294967295" verticalDpi="4294967295" r:id="rId1"/>
  <headerFooter alignWithMargins="0">
    <oddFooter xml:space="preserve">&amp;REng. Paulo Márcio de M. Brito
</oddFooter>
  </headerFooter>
  <rowBreaks count="2" manualBreakCount="2">
    <brk id="52" max="9" man="1"/>
    <brk id="97" max="9" man="1"/>
  </rowBreaks>
  <ignoredErrors>
    <ignoredError sqref="G19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3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9.140625" style="483"/>
    <col min="2" max="2" width="2.5703125" style="483" customWidth="1"/>
    <col min="3" max="4" width="9.140625" style="483"/>
    <col min="5" max="6" width="5.42578125" style="483" customWidth="1"/>
    <col min="7" max="7" width="4.5703125" style="483" customWidth="1"/>
    <col min="8" max="8" width="4.7109375" style="483" customWidth="1"/>
    <col min="9" max="9" width="5.140625" style="483" customWidth="1"/>
    <col min="10" max="10" width="10" style="483" customWidth="1"/>
    <col min="11" max="11" width="14.5703125" style="483" customWidth="1"/>
    <col min="12" max="12" width="10" style="483" customWidth="1"/>
    <col min="13" max="13" width="13.42578125" style="483" customWidth="1"/>
    <col min="14" max="16384" width="9.140625" style="483"/>
  </cols>
  <sheetData>
    <row r="1" spans="1:16" ht="20.25" x14ac:dyDescent="0.3">
      <c r="A1" s="567" t="s">
        <v>13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372"/>
    </row>
    <row r="2" spans="1:16" ht="18" x14ac:dyDescent="0.25">
      <c r="A2" s="569" t="s">
        <v>148</v>
      </c>
      <c r="B2" s="616"/>
      <c r="C2" s="616"/>
      <c r="D2" s="616"/>
      <c r="E2" s="616"/>
      <c r="F2" s="616"/>
      <c r="G2" s="616"/>
      <c r="H2" s="616"/>
      <c r="I2" s="616"/>
      <c r="J2" s="616"/>
      <c r="K2" s="616"/>
      <c r="L2" s="616"/>
      <c r="M2" s="374"/>
    </row>
    <row r="3" spans="1:16" ht="15.75" x14ac:dyDescent="0.25">
      <c r="A3" s="571" t="s">
        <v>141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374"/>
    </row>
    <row r="4" spans="1:16" ht="14.25" x14ac:dyDescent="0.2">
      <c r="A4" s="33"/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374"/>
    </row>
    <row r="5" spans="1:16" ht="15" x14ac:dyDescent="0.2">
      <c r="A5" s="484" t="s">
        <v>6</v>
      </c>
      <c r="B5" s="485"/>
      <c r="C5" s="486"/>
      <c r="D5" s="373"/>
      <c r="E5" s="373"/>
      <c r="F5" s="373"/>
      <c r="G5" s="373"/>
      <c r="H5" s="373"/>
      <c r="I5" s="373"/>
      <c r="J5" s="373"/>
      <c r="K5" s="373" t="s">
        <v>8</v>
      </c>
      <c r="L5" s="373"/>
      <c r="M5" s="374"/>
    </row>
    <row r="6" spans="1:16" ht="43.5" customHeight="1" x14ac:dyDescent="0.2">
      <c r="A6" s="618" t="str">
        <f>SERVIÇOS!A5</f>
        <v>Serviços de Recuperação de Ambientes no ICS</v>
      </c>
      <c r="B6" s="619"/>
      <c r="C6" s="619"/>
      <c r="D6" s="619"/>
      <c r="E6" s="619"/>
      <c r="F6" s="619"/>
      <c r="G6" s="619"/>
      <c r="H6" s="619"/>
      <c r="I6" s="619"/>
      <c r="J6" s="619"/>
      <c r="K6" s="615" t="s">
        <v>267</v>
      </c>
      <c r="L6" s="615"/>
      <c r="M6" s="374"/>
    </row>
    <row r="7" spans="1:16" ht="15.75" customHeight="1" x14ac:dyDescent="0.25">
      <c r="A7" s="620" t="s">
        <v>7</v>
      </c>
      <c r="B7" s="621"/>
      <c r="C7" s="621"/>
      <c r="D7" s="373"/>
      <c r="E7" s="373"/>
      <c r="F7" s="373"/>
      <c r="G7" s="373"/>
      <c r="H7" s="373"/>
      <c r="I7" s="373"/>
      <c r="J7" s="373"/>
      <c r="K7" s="373" t="s">
        <v>10</v>
      </c>
      <c r="L7" s="487"/>
      <c r="M7" s="362" t="s">
        <v>144</v>
      </c>
    </row>
    <row r="8" spans="1:16" ht="15.75" thickBot="1" x14ac:dyDescent="0.25">
      <c r="A8" s="613" t="str">
        <f>SERVIÇOS!A7</f>
        <v>Campus Universitário do Canela - Salvador - Bahia</v>
      </c>
      <c r="B8" s="614"/>
      <c r="C8" s="614"/>
      <c r="D8" s="614"/>
      <c r="E8" s="614"/>
      <c r="F8" s="614"/>
      <c r="G8" s="614"/>
      <c r="H8" s="614"/>
      <c r="I8" s="614"/>
      <c r="J8" s="614"/>
      <c r="K8" s="363">
        <f>SERVIÇOS!D7</f>
        <v>54.86</v>
      </c>
      <c r="L8" s="375"/>
      <c r="M8" s="364">
        <f ca="1">NOW()</f>
        <v>44229.443061226855</v>
      </c>
    </row>
    <row r="9" spans="1:16" ht="14.25" thickTop="1" thickBot="1" x14ac:dyDescent="0.25"/>
    <row r="10" spans="1:16" ht="40.5" customHeight="1" thickBot="1" x14ac:dyDescent="0.4">
      <c r="A10" s="627" t="s">
        <v>147</v>
      </c>
      <c r="B10" s="628"/>
      <c r="C10" s="628"/>
      <c r="D10" s="628"/>
      <c r="E10" s="628"/>
      <c r="F10" s="628"/>
      <c r="G10" s="628"/>
      <c r="H10" s="628"/>
      <c r="I10" s="628"/>
      <c r="J10" s="628"/>
      <c r="K10" s="628"/>
      <c r="L10" s="628"/>
      <c r="M10" s="629"/>
      <c r="N10" s="488"/>
      <c r="O10" s="488"/>
      <c r="P10" s="488"/>
    </row>
    <row r="11" spans="1:16" ht="16.5" thickBot="1" x14ac:dyDescent="0.3">
      <c r="A11" s="630" t="s">
        <v>28</v>
      </c>
      <c r="B11" s="631"/>
      <c r="C11" s="631"/>
      <c r="D11" s="631"/>
      <c r="E11" s="631"/>
      <c r="F11" s="631"/>
      <c r="G11" s="631"/>
      <c r="H11" s="631"/>
      <c r="I11" s="631"/>
      <c r="J11" s="631"/>
      <c r="K11" s="631"/>
      <c r="L11" s="631"/>
      <c r="M11" s="632"/>
    </row>
    <row r="12" spans="1:16" ht="13.5" customHeight="1" thickBot="1" x14ac:dyDescent="0.25">
      <c r="A12" s="633" t="s">
        <v>29</v>
      </c>
      <c r="B12" s="634"/>
      <c r="C12" s="639" t="s">
        <v>3</v>
      </c>
      <c r="D12" s="640"/>
      <c r="E12" s="640"/>
      <c r="F12" s="640"/>
      <c r="G12" s="640"/>
      <c r="H12" s="640"/>
      <c r="I12" s="641"/>
      <c r="J12" s="648" t="s">
        <v>30</v>
      </c>
      <c r="K12" s="649"/>
      <c r="L12" s="648" t="s">
        <v>31</v>
      </c>
      <c r="M12" s="649"/>
    </row>
    <row r="13" spans="1:16" ht="12.75" customHeight="1" x14ac:dyDescent="0.2">
      <c r="A13" s="635"/>
      <c r="B13" s="636"/>
      <c r="C13" s="642"/>
      <c r="D13" s="643"/>
      <c r="E13" s="643"/>
      <c r="F13" s="643"/>
      <c r="G13" s="643"/>
      <c r="H13" s="643"/>
      <c r="I13" s="644"/>
      <c r="J13" s="622" t="s">
        <v>32</v>
      </c>
      <c r="K13" s="622" t="s">
        <v>33</v>
      </c>
      <c r="L13" s="622" t="s">
        <v>32</v>
      </c>
      <c r="M13" s="622" t="s">
        <v>33</v>
      </c>
    </row>
    <row r="14" spans="1:16" ht="13.5" customHeight="1" thickBot="1" x14ac:dyDescent="0.25">
      <c r="A14" s="637"/>
      <c r="B14" s="638"/>
      <c r="C14" s="645"/>
      <c r="D14" s="646"/>
      <c r="E14" s="646"/>
      <c r="F14" s="646"/>
      <c r="G14" s="646"/>
      <c r="H14" s="646"/>
      <c r="I14" s="647"/>
      <c r="J14" s="623"/>
      <c r="K14" s="623"/>
      <c r="L14" s="623"/>
      <c r="M14" s="623"/>
    </row>
    <row r="15" spans="1:16" ht="16.5" thickBot="1" x14ac:dyDescent="0.3">
      <c r="A15" s="624" t="s">
        <v>34</v>
      </c>
      <c r="B15" s="625"/>
      <c r="C15" s="625"/>
      <c r="D15" s="625"/>
      <c r="E15" s="625"/>
      <c r="F15" s="625"/>
      <c r="G15" s="625"/>
      <c r="H15" s="625"/>
      <c r="I15" s="625"/>
      <c r="J15" s="625"/>
      <c r="K15" s="625"/>
      <c r="L15" s="625"/>
      <c r="M15" s="626"/>
    </row>
    <row r="16" spans="1:16" x14ac:dyDescent="0.2">
      <c r="A16" s="650" t="s">
        <v>35</v>
      </c>
      <c r="B16" s="651"/>
      <c r="C16" s="652" t="s">
        <v>36</v>
      </c>
      <c r="D16" s="653"/>
      <c r="E16" s="653"/>
      <c r="F16" s="653"/>
      <c r="G16" s="653"/>
      <c r="H16" s="653"/>
      <c r="I16" s="654"/>
      <c r="J16" s="489">
        <v>0</v>
      </c>
      <c r="K16" s="489">
        <v>0</v>
      </c>
      <c r="L16" s="489">
        <v>20</v>
      </c>
      <c r="M16" s="490">
        <v>20</v>
      </c>
      <c r="N16" s="67"/>
    </row>
    <row r="17" spans="1:14" x14ac:dyDescent="0.2">
      <c r="A17" s="655" t="s">
        <v>37</v>
      </c>
      <c r="B17" s="656"/>
      <c r="C17" s="657" t="s">
        <v>38</v>
      </c>
      <c r="D17" s="658"/>
      <c r="E17" s="658"/>
      <c r="F17" s="658"/>
      <c r="G17" s="658"/>
      <c r="H17" s="658"/>
      <c r="I17" s="659"/>
      <c r="J17" s="491">
        <v>1.5</v>
      </c>
      <c r="K17" s="491">
        <v>1.5</v>
      </c>
      <c r="L17" s="491">
        <v>1.5</v>
      </c>
      <c r="M17" s="492">
        <v>1.5</v>
      </c>
      <c r="N17" s="67"/>
    </row>
    <row r="18" spans="1:14" x14ac:dyDescent="0.2">
      <c r="A18" s="655" t="s">
        <v>39</v>
      </c>
      <c r="B18" s="656"/>
      <c r="C18" s="657" t="s">
        <v>40</v>
      </c>
      <c r="D18" s="658"/>
      <c r="E18" s="658"/>
      <c r="F18" s="658"/>
      <c r="G18" s="658"/>
      <c r="H18" s="658"/>
      <c r="I18" s="659"/>
      <c r="J18" s="491">
        <v>1</v>
      </c>
      <c r="K18" s="491">
        <v>1</v>
      </c>
      <c r="L18" s="491">
        <v>1</v>
      </c>
      <c r="M18" s="492">
        <v>1</v>
      </c>
      <c r="N18" s="67"/>
    </row>
    <row r="19" spans="1:14" x14ac:dyDescent="0.2">
      <c r="A19" s="655" t="s">
        <v>41</v>
      </c>
      <c r="B19" s="656"/>
      <c r="C19" s="657" t="s">
        <v>42</v>
      </c>
      <c r="D19" s="658"/>
      <c r="E19" s="658"/>
      <c r="F19" s="658"/>
      <c r="G19" s="658"/>
      <c r="H19" s="658"/>
      <c r="I19" s="659"/>
      <c r="J19" s="491">
        <v>0.2</v>
      </c>
      <c r="K19" s="491">
        <v>0.2</v>
      </c>
      <c r="L19" s="491">
        <v>0.2</v>
      </c>
      <c r="M19" s="492">
        <v>0.2</v>
      </c>
      <c r="N19" s="67"/>
    </row>
    <row r="20" spans="1:14" x14ac:dyDescent="0.2">
      <c r="A20" s="655" t="s">
        <v>43</v>
      </c>
      <c r="B20" s="656"/>
      <c r="C20" s="657" t="s">
        <v>44</v>
      </c>
      <c r="D20" s="658"/>
      <c r="E20" s="658"/>
      <c r="F20" s="658"/>
      <c r="G20" s="658"/>
      <c r="H20" s="658"/>
      <c r="I20" s="659"/>
      <c r="J20" s="491">
        <v>0.6</v>
      </c>
      <c r="K20" s="491">
        <v>0.6</v>
      </c>
      <c r="L20" s="491">
        <v>0.6</v>
      </c>
      <c r="M20" s="492">
        <v>0.6</v>
      </c>
      <c r="N20" s="67"/>
    </row>
    <row r="21" spans="1:14" x14ac:dyDescent="0.2">
      <c r="A21" s="655" t="s">
        <v>45</v>
      </c>
      <c r="B21" s="656"/>
      <c r="C21" s="657" t="s">
        <v>46</v>
      </c>
      <c r="D21" s="658"/>
      <c r="E21" s="658"/>
      <c r="F21" s="658"/>
      <c r="G21" s="658"/>
      <c r="H21" s="658"/>
      <c r="I21" s="659"/>
      <c r="J21" s="491">
        <v>2.5</v>
      </c>
      <c r="K21" s="491">
        <v>2.5</v>
      </c>
      <c r="L21" s="491">
        <v>2.5</v>
      </c>
      <c r="M21" s="492">
        <v>2.5</v>
      </c>
      <c r="N21" s="67"/>
    </row>
    <row r="22" spans="1:14" x14ac:dyDescent="0.2">
      <c r="A22" s="655" t="s">
        <v>47</v>
      </c>
      <c r="B22" s="656"/>
      <c r="C22" s="657" t="s">
        <v>48</v>
      </c>
      <c r="D22" s="658"/>
      <c r="E22" s="658"/>
      <c r="F22" s="658"/>
      <c r="G22" s="658"/>
      <c r="H22" s="658"/>
      <c r="I22" s="659"/>
      <c r="J22" s="491">
        <v>3</v>
      </c>
      <c r="K22" s="491">
        <v>3</v>
      </c>
      <c r="L22" s="491">
        <v>3</v>
      </c>
      <c r="M22" s="492">
        <v>3</v>
      </c>
      <c r="N22" s="67"/>
    </row>
    <row r="23" spans="1:14" x14ac:dyDescent="0.2">
      <c r="A23" s="655" t="s">
        <v>49</v>
      </c>
      <c r="B23" s="656"/>
      <c r="C23" s="657" t="s">
        <v>50</v>
      </c>
      <c r="D23" s="658"/>
      <c r="E23" s="658"/>
      <c r="F23" s="658"/>
      <c r="G23" s="658"/>
      <c r="H23" s="658"/>
      <c r="I23" s="659"/>
      <c r="J23" s="491">
        <v>8</v>
      </c>
      <c r="K23" s="491">
        <v>8</v>
      </c>
      <c r="L23" s="491">
        <v>8</v>
      </c>
      <c r="M23" s="492">
        <v>8</v>
      </c>
      <c r="N23" s="67"/>
    </row>
    <row r="24" spans="1:14" ht="13.5" thickBot="1" x14ac:dyDescent="0.25">
      <c r="A24" s="660" t="s">
        <v>51</v>
      </c>
      <c r="B24" s="661"/>
      <c r="C24" s="662" t="s">
        <v>52</v>
      </c>
      <c r="D24" s="663"/>
      <c r="E24" s="663"/>
      <c r="F24" s="663"/>
      <c r="G24" s="663"/>
      <c r="H24" s="663"/>
      <c r="I24" s="664"/>
      <c r="J24" s="493">
        <v>0</v>
      </c>
      <c r="K24" s="493">
        <v>0</v>
      </c>
      <c r="L24" s="493">
        <v>0</v>
      </c>
      <c r="M24" s="494">
        <v>0</v>
      </c>
      <c r="N24" s="67"/>
    </row>
    <row r="25" spans="1:14" ht="16.5" thickBot="1" x14ac:dyDescent="0.3">
      <c r="A25" s="624" t="s">
        <v>53</v>
      </c>
      <c r="B25" s="625"/>
      <c r="C25" s="625" t="s">
        <v>14</v>
      </c>
      <c r="D25" s="625"/>
      <c r="E25" s="625"/>
      <c r="F25" s="625"/>
      <c r="G25" s="625"/>
      <c r="H25" s="625"/>
      <c r="I25" s="625"/>
      <c r="J25" s="495">
        <f>SUM(J16:J24)</f>
        <v>16.8</v>
      </c>
      <c r="K25" s="495">
        <f>SUM(K16:K24)</f>
        <v>16.8</v>
      </c>
      <c r="L25" s="495">
        <f>SUM(L16:L24)</f>
        <v>36.799999999999997</v>
      </c>
      <c r="M25" s="496">
        <f>SUM(M16:M24)</f>
        <v>36.799999999999997</v>
      </c>
      <c r="N25" s="67"/>
    </row>
    <row r="26" spans="1:14" ht="16.5" thickBot="1" x14ac:dyDescent="0.3">
      <c r="A26" s="624" t="s">
        <v>54</v>
      </c>
      <c r="B26" s="625"/>
      <c r="C26" s="625"/>
      <c r="D26" s="625"/>
      <c r="E26" s="625"/>
      <c r="F26" s="625"/>
      <c r="G26" s="625"/>
      <c r="H26" s="625"/>
      <c r="I26" s="625"/>
      <c r="J26" s="625"/>
      <c r="K26" s="625"/>
      <c r="L26" s="625"/>
      <c r="M26" s="626"/>
      <c r="N26" s="67"/>
    </row>
    <row r="27" spans="1:14" x14ac:dyDescent="0.2">
      <c r="A27" s="650" t="s">
        <v>55</v>
      </c>
      <c r="B27" s="651"/>
      <c r="C27" s="652" t="s">
        <v>56</v>
      </c>
      <c r="D27" s="653"/>
      <c r="E27" s="653"/>
      <c r="F27" s="653"/>
      <c r="G27" s="653"/>
      <c r="H27" s="653"/>
      <c r="I27" s="654"/>
      <c r="J27" s="489">
        <v>17.97</v>
      </c>
      <c r="K27" s="489">
        <v>0</v>
      </c>
      <c r="L27" s="489">
        <v>17.97</v>
      </c>
      <c r="M27" s="490">
        <v>0</v>
      </c>
      <c r="N27" s="67"/>
    </row>
    <row r="28" spans="1:14" x14ac:dyDescent="0.2">
      <c r="A28" s="655" t="s">
        <v>57</v>
      </c>
      <c r="B28" s="656"/>
      <c r="C28" s="657" t="s">
        <v>58</v>
      </c>
      <c r="D28" s="658"/>
      <c r="E28" s="658"/>
      <c r="F28" s="658"/>
      <c r="G28" s="658"/>
      <c r="H28" s="658"/>
      <c r="I28" s="659"/>
      <c r="J28" s="491">
        <v>3.97</v>
      </c>
      <c r="K28" s="491">
        <v>0</v>
      </c>
      <c r="L28" s="491">
        <v>3.97</v>
      </c>
      <c r="M28" s="492">
        <v>0</v>
      </c>
      <c r="N28" s="67"/>
    </row>
    <row r="29" spans="1:14" x14ac:dyDescent="0.2">
      <c r="A29" s="655" t="s">
        <v>59</v>
      </c>
      <c r="B29" s="656"/>
      <c r="C29" s="657" t="s">
        <v>60</v>
      </c>
      <c r="D29" s="658"/>
      <c r="E29" s="658"/>
      <c r="F29" s="658"/>
      <c r="G29" s="658"/>
      <c r="H29" s="658"/>
      <c r="I29" s="659"/>
      <c r="J29" s="491">
        <v>0.9</v>
      </c>
      <c r="K29" s="491">
        <v>0.69</v>
      </c>
      <c r="L29" s="491">
        <v>0.9</v>
      </c>
      <c r="M29" s="492">
        <v>0.69</v>
      </c>
      <c r="N29" s="67"/>
    </row>
    <row r="30" spans="1:14" x14ac:dyDescent="0.2">
      <c r="A30" s="655" t="s">
        <v>61</v>
      </c>
      <c r="B30" s="656"/>
      <c r="C30" s="657" t="s">
        <v>62</v>
      </c>
      <c r="D30" s="658"/>
      <c r="E30" s="658"/>
      <c r="F30" s="658"/>
      <c r="G30" s="658"/>
      <c r="H30" s="658"/>
      <c r="I30" s="659"/>
      <c r="J30" s="491">
        <v>10.84</v>
      </c>
      <c r="K30" s="491">
        <v>8.33</v>
      </c>
      <c r="L30" s="491">
        <v>10.84</v>
      </c>
      <c r="M30" s="492">
        <v>8.33</v>
      </c>
      <c r="N30" s="67"/>
    </row>
    <row r="31" spans="1:14" x14ac:dyDescent="0.2">
      <c r="A31" s="655" t="s">
        <v>63</v>
      </c>
      <c r="B31" s="656"/>
      <c r="C31" s="657" t="s">
        <v>64</v>
      </c>
      <c r="D31" s="658"/>
      <c r="E31" s="658"/>
      <c r="F31" s="658"/>
      <c r="G31" s="658"/>
      <c r="H31" s="658"/>
      <c r="I31" s="659"/>
      <c r="J31" s="491">
        <v>7.0000000000000007E-2</v>
      </c>
      <c r="K31" s="491">
        <v>0.06</v>
      </c>
      <c r="L31" s="491">
        <v>7.0000000000000007E-2</v>
      </c>
      <c r="M31" s="492">
        <v>0.06</v>
      </c>
      <c r="N31" s="67"/>
    </row>
    <row r="32" spans="1:14" x14ac:dyDescent="0.2">
      <c r="A32" s="655" t="s">
        <v>65</v>
      </c>
      <c r="B32" s="656"/>
      <c r="C32" s="657" t="s">
        <v>66</v>
      </c>
      <c r="D32" s="658"/>
      <c r="E32" s="658"/>
      <c r="F32" s="658"/>
      <c r="G32" s="658"/>
      <c r="H32" s="658"/>
      <c r="I32" s="659"/>
      <c r="J32" s="491">
        <v>0.72</v>
      </c>
      <c r="K32" s="491">
        <v>0.56000000000000005</v>
      </c>
      <c r="L32" s="491">
        <v>0.72</v>
      </c>
      <c r="M32" s="492">
        <v>0.56000000000000005</v>
      </c>
      <c r="N32" s="67"/>
    </row>
    <row r="33" spans="1:14" x14ac:dyDescent="0.2">
      <c r="A33" s="655" t="s">
        <v>67</v>
      </c>
      <c r="B33" s="656"/>
      <c r="C33" s="657" t="s">
        <v>68</v>
      </c>
      <c r="D33" s="658"/>
      <c r="E33" s="658"/>
      <c r="F33" s="658"/>
      <c r="G33" s="658"/>
      <c r="H33" s="658"/>
      <c r="I33" s="659"/>
      <c r="J33" s="491">
        <v>2.0099999999999998</v>
      </c>
      <c r="K33" s="491">
        <v>0</v>
      </c>
      <c r="L33" s="491">
        <v>2.0099999999999998</v>
      </c>
      <c r="M33" s="492">
        <v>0</v>
      </c>
      <c r="N33" s="67"/>
    </row>
    <row r="34" spans="1:14" x14ac:dyDescent="0.2">
      <c r="A34" s="655" t="s">
        <v>69</v>
      </c>
      <c r="B34" s="656"/>
      <c r="C34" s="657" t="s">
        <v>70</v>
      </c>
      <c r="D34" s="658"/>
      <c r="E34" s="658"/>
      <c r="F34" s="658"/>
      <c r="G34" s="658"/>
      <c r="H34" s="658"/>
      <c r="I34" s="659"/>
      <c r="J34" s="491">
        <v>0.11</v>
      </c>
      <c r="K34" s="491">
        <v>0.09</v>
      </c>
      <c r="L34" s="491">
        <v>0.11</v>
      </c>
      <c r="M34" s="492">
        <v>0.09</v>
      </c>
      <c r="N34" s="67"/>
    </row>
    <row r="35" spans="1:14" x14ac:dyDescent="0.2">
      <c r="A35" s="655" t="s">
        <v>71</v>
      </c>
      <c r="B35" s="656"/>
      <c r="C35" s="657" t="s">
        <v>72</v>
      </c>
      <c r="D35" s="658"/>
      <c r="E35" s="658"/>
      <c r="F35" s="658"/>
      <c r="G35" s="658"/>
      <c r="H35" s="658"/>
      <c r="I35" s="659"/>
      <c r="J35" s="491">
        <v>8.26</v>
      </c>
      <c r="K35" s="491">
        <v>6.35</v>
      </c>
      <c r="L35" s="491">
        <v>8.26</v>
      </c>
      <c r="M35" s="492">
        <v>6.35</v>
      </c>
      <c r="N35" s="67"/>
    </row>
    <row r="36" spans="1:14" ht="13.5" thickBot="1" x14ac:dyDescent="0.25">
      <c r="A36" s="660" t="s">
        <v>73</v>
      </c>
      <c r="B36" s="661"/>
      <c r="C36" s="662" t="s">
        <v>74</v>
      </c>
      <c r="D36" s="663"/>
      <c r="E36" s="663"/>
      <c r="F36" s="663"/>
      <c r="G36" s="663"/>
      <c r="H36" s="663"/>
      <c r="I36" s="664"/>
      <c r="J36" s="493">
        <v>0.03</v>
      </c>
      <c r="K36" s="493">
        <v>0.03</v>
      </c>
      <c r="L36" s="493">
        <v>0.03</v>
      </c>
      <c r="M36" s="494">
        <v>0.03</v>
      </c>
      <c r="N36" s="67"/>
    </row>
    <row r="37" spans="1:14" ht="16.5" thickBot="1" x14ac:dyDescent="0.3">
      <c r="A37" s="624" t="s">
        <v>75</v>
      </c>
      <c r="B37" s="625"/>
      <c r="C37" s="625" t="s">
        <v>14</v>
      </c>
      <c r="D37" s="625"/>
      <c r="E37" s="625"/>
      <c r="F37" s="625"/>
      <c r="G37" s="625"/>
      <c r="H37" s="625"/>
      <c r="I37" s="625"/>
      <c r="J37" s="495">
        <f>SUM(J27:J36)</f>
        <v>44.879999999999988</v>
      </c>
      <c r="K37" s="495">
        <f>SUM(K27:K36)</f>
        <v>16.11</v>
      </c>
      <c r="L37" s="495">
        <f>SUM(L27:L36)</f>
        <v>44.879999999999988</v>
      </c>
      <c r="M37" s="496">
        <f>SUM(M27:M36)</f>
        <v>16.11</v>
      </c>
      <c r="N37" s="67"/>
    </row>
    <row r="38" spans="1:14" ht="16.5" thickBot="1" x14ac:dyDescent="0.3">
      <c r="A38" s="624" t="s">
        <v>76</v>
      </c>
      <c r="B38" s="625"/>
      <c r="C38" s="625"/>
      <c r="D38" s="625"/>
      <c r="E38" s="625"/>
      <c r="F38" s="625"/>
      <c r="G38" s="625"/>
      <c r="H38" s="625"/>
      <c r="I38" s="625"/>
      <c r="J38" s="625"/>
      <c r="K38" s="625"/>
      <c r="L38" s="625"/>
      <c r="M38" s="626"/>
      <c r="N38" s="67"/>
    </row>
    <row r="39" spans="1:14" x14ac:dyDescent="0.2">
      <c r="A39" s="650" t="s">
        <v>77</v>
      </c>
      <c r="B39" s="651"/>
      <c r="C39" s="652" t="s">
        <v>78</v>
      </c>
      <c r="D39" s="653"/>
      <c r="E39" s="653"/>
      <c r="F39" s="653"/>
      <c r="G39" s="653"/>
      <c r="H39" s="653"/>
      <c r="I39" s="654"/>
      <c r="J39" s="497">
        <v>5</v>
      </c>
      <c r="K39" s="497">
        <v>3.84</v>
      </c>
      <c r="L39" s="497">
        <v>5</v>
      </c>
      <c r="M39" s="498">
        <v>3.84</v>
      </c>
      <c r="N39" s="67"/>
    </row>
    <row r="40" spans="1:14" x14ac:dyDescent="0.2">
      <c r="A40" s="655" t="s">
        <v>79</v>
      </c>
      <c r="B40" s="656"/>
      <c r="C40" s="657" t="s">
        <v>80</v>
      </c>
      <c r="D40" s="658"/>
      <c r="E40" s="658"/>
      <c r="F40" s="658"/>
      <c r="G40" s="658"/>
      <c r="H40" s="658"/>
      <c r="I40" s="659"/>
      <c r="J40" s="499">
        <v>0.12</v>
      </c>
      <c r="K40" s="499">
        <v>0.09</v>
      </c>
      <c r="L40" s="499">
        <v>0.12</v>
      </c>
      <c r="M40" s="500">
        <v>0.09</v>
      </c>
      <c r="N40" s="67"/>
    </row>
    <row r="41" spans="1:14" x14ac:dyDescent="0.2">
      <c r="A41" s="655" t="s">
        <v>81</v>
      </c>
      <c r="B41" s="656"/>
      <c r="C41" s="657" t="s">
        <v>82</v>
      </c>
      <c r="D41" s="658"/>
      <c r="E41" s="658"/>
      <c r="F41" s="658"/>
      <c r="G41" s="658"/>
      <c r="H41" s="658"/>
      <c r="I41" s="659"/>
      <c r="J41" s="499">
        <v>5.05</v>
      </c>
      <c r="K41" s="499">
        <v>3.88</v>
      </c>
      <c r="L41" s="499">
        <v>5.05</v>
      </c>
      <c r="M41" s="500">
        <v>3.88</v>
      </c>
      <c r="N41" s="67"/>
    </row>
    <row r="42" spans="1:14" x14ac:dyDescent="0.2">
      <c r="A42" s="655" t="s">
        <v>83</v>
      </c>
      <c r="B42" s="656"/>
      <c r="C42" s="657" t="s">
        <v>139</v>
      </c>
      <c r="D42" s="658"/>
      <c r="E42" s="658"/>
      <c r="F42" s="658"/>
      <c r="G42" s="658"/>
      <c r="H42" s="658"/>
      <c r="I42" s="659"/>
      <c r="J42" s="499">
        <v>3.81</v>
      </c>
      <c r="K42" s="499">
        <v>2.93</v>
      </c>
      <c r="L42" s="499">
        <v>3.81</v>
      </c>
      <c r="M42" s="500">
        <v>2.93</v>
      </c>
      <c r="N42" s="67"/>
    </row>
    <row r="43" spans="1:14" ht="13.5" thickBot="1" x14ac:dyDescent="0.25">
      <c r="A43" s="660" t="s">
        <v>84</v>
      </c>
      <c r="B43" s="661"/>
      <c r="C43" s="662" t="s">
        <v>85</v>
      </c>
      <c r="D43" s="663"/>
      <c r="E43" s="663"/>
      <c r="F43" s="663"/>
      <c r="G43" s="663"/>
      <c r="H43" s="663"/>
      <c r="I43" s="664"/>
      <c r="J43" s="501">
        <v>0.42</v>
      </c>
      <c r="K43" s="501">
        <v>0.32</v>
      </c>
      <c r="L43" s="501">
        <v>0.42</v>
      </c>
      <c r="M43" s="502">
        <v>0.32</v>
      </c>
      <c r="N43" s="67"/>
    </row>
    <row r="44" spans="1:14" ht="16.5" thickBot="1" x14ac:dyDescent="0.3">
      <c r="A44" s="624" t="s">
        <v>86</v>
      </c>
      <c r="B44" s="625"/>
      <c r="C44" s="625" t="s">
        <v>14</v>
      </c>
      <c r="D44" s="625"/>
      <c r="E44" s="625"/>
      <c r="F44" s="625"/>
      <c r="G44" s="625"/>
      <c r="H44" s="625"/>
      <c r="I44" s="625"/>
      <c r="J44" s="503">
        <f>SUM(J39:J43)</f>
        <v>14.4</v>
      </c>
      <c r="K44" s="503">
        <f>SUM(K39:K43)</f>
        <v>11.06</v>
      </c>
      <c r="L44" s="503">
        <f>SUM(L39:L43)</f>
        <v>14.4</v>
      </c>
      <c r="M44" s="504">
        <f>SUM(M39:M43)</f>
        <v>11.06</v>
      </c>
    </row>
    <row r="45" spans="1:14" ht="16.5" thickBot="1" x14ac:dyDescent="0.3">
      <c r="A45" s="624" t="s">
        <v>87</v>
      </c>
      <c r="B45" s="625"/>
      <c r="C45" s="625"/>
      <c r="D45" s="625"/>
      <c r="E45" s="625"/>
      <c r="F45" s="625"/>
      <c r="G45" s="625"/>
      <c r="H45" s="625"/>
      <c r="I45" s="625"/>
      <c r="J45" s="625"/>
      <c r="K45" s="625"/>
      <c r="L45" s="625"/>
      <c r="M45" s="626"/>
    </row>
    <row r="46" spans="1:14" x14ac:dyDescent="0.2">
      <c r="A46" s="650" t="s">
        <v>88</v>
      </c>
      <c r="B46" s="651"/>
      <c r="C46" s="652" t="s">
        <v>89</v>
      </c>
      <c r="D46" s="653"/>
      <c r="E46" s="653"/>
      <c r="F46" s="653"/>
      <c r="G46" s="653"/>
      <c r="H46" s="653"/>
      <c r="I46" s="654"/>
      <c r="J46" s="497">
        <v>7.54</v>
      </c>
      <c r="K46" s="497">
        <v>2.71</v>
      </c>
      <c r="L46" s="497">
        <v>16.52</v>
      </c>
      <c r="M46" s="498">
        <v>5.93</v>
      </c>
    </row>
    <row r="47" spans="1:14" ht="44.25" customHeight="1" thickBot="1" x14ac:dyDescent="0.25">
      <c r="A47" s="660" t="s">
        <v>90</v>
      </c>
      <c r="B47" s="661"/>
      <c r="C47" s="665" t="s">
        <v>91</v>
      </c>
      <c r="D47" s="666"/>
      <c r="E47" s="666"/>
      <c r="F47" s="666"/>
      <c r="G47" s="666"/>
      <c r="H47" s="666"/>
      <c r="I47" s="667"/>
      <c r="J47" s="501">
        <v>0.42</v>
      </c>
      <c r="K47" s="501">
        <v>0.32</v>
      </c>
      <c r="L47" s="501">
        <v>0.44</v>
      </c>
      <c r="M47" s="502">
        <v>0.34</v>
      </c>
    </row>
    <row r="48" spans="1:14" ht="16.5" thickBot="1" x14ac:dyDescent="0.3">
      <c r="A48" s="624" t="s">
        <v>92</v>
      </c>
      <c r="B48" s="625"/>
      <c r="C48" s="625" t="s">
        <v>14</v>
      </c>
      <c r="D48" s="625"/>
      <c r="E48" s="625"/>
      <c r="F48" s="625"/>
      <c r="G48" s="625"/>
      <c r="H48" s="625"/>
      <c r="I48" s="625"/>
      <c r="J48" s="503">
        <f>SUM(J46:J47)</f>
        <v>7.96</v>
      </c>
      <c r="K48" s="503">
        <f>SUM(K46:K47)</f>
        <v>3.03</v>
      </c>
      <c r="L48" s="503">
        <f>SUM(L46:L47)</f>
        <v>16.96</v>
      </c>
      <c r="M48" s="504">
        <f>SUM(M46:M47)</f>
        <v>6.27</v>
      </c>
    </row>
    <row r="49" spans="1:13" ht="16.5" thickBot="1" x14ac:dyDescent="0.3">
      <c r="A49" s="505"/>
      <c r="B49" s="506"/>
      <c r="C49" s="506"/>
      <c r="D49" s="506"/>
      <c r="E49" s="506"/>
      <c r="F49" s="506"/>
      <c r="G49" s="506"/>
      <c r="H49" s="506"/>
      <c r="I49" s="506"/>
      <c r="J49" s="507"/>
      <c r="K49" s="507"/>
      <c r="L49" s="507"/>
      <c r="M49" s="508"/>
    </row>
    <row r="50" spans="1:13" ht="16.5" thickBot="1" x14ac:dyDescent="0.3">
      <c r="A50" s="624"/>
      <c r="B50" s="625"/>
      <c r="C50" s="625" t="s">
        <v>93</v>
      </c>
      <c r="D50" s="625"/>
      <c r="E50" s="625"/>
      <c r="F50" s="625"/>
      <c r="G50" s="625"/>
      <c r="H50" s="625"/>
      <c r="I50" s="625"/>
      <c r="J50" s="509">
        <f>J25+J37+J44+J48</f>
        <v>84.039999999999992</v>
      </c>
      <c r="K50" s="509">
        <f>K25+K37+K44+K48</f>
        <v>47</v>
      </c>
      <c r="L50" s="509">
        <f>L25+L37+L44+L48</f>
        <v>113.03999999999999</v>
      </c>
      <c r="M50" s="510">
        <f>M25+M37+M44+M48</f>
        <v>70.239999999999995</v>
      </c>
    </row>
    <row r="52" spans="1:13" x14ac:dyDescent="0.2">
      <c r="B52" s="511"/>
      <c r="C52" s="511"/>
    </row>
    <row r="63" spans="1:13" x14ac:dyDescent="0.2">
      <c r="B63" s="483" t="s">
        <v>15</v>
      </c>
    </row>
  </sheetData>
  <mergeCells count="83">
    <mergeCell ref="A50:B50"/>
    <mergeCell ref="C50:I50"/>
    <mergeCell ref="A45:M45"/>
    <mergeCell ref="A46:B46"/>
    <mergeCell ref="C46:I46"/>
    <mergeCell ref="A47:B47"/>
    <mergeCell ref="C47:I47"/>
    <mergeCell ref="A48:B48"/>
    <mergeCell ref="C48:I48"/>
    <mergeCell ref="A42:B42"/>
    <mergeCell ref="C42:I42"/>
    <mergeCell ref="A43:B43"/>
    <mergeCell ref="C43:I43"/>
    <mergeCell ref="A44:B44"/>
    <mergeCell ref="C44:I44"/>
    <mergeCell ref="A41:B41"/>
    <mergeCell ref="C41:I41"/>
    <mergeCell ref="A35:B35"/>
    <mergeCell ref="C35:I35"/>
    <mergeCell ref="A36:B36"/>
    <mergeCell ref="C36:I36"/>
    <mergeCell ref="A37:B37"/>
    <mergeCell ref="C37:I37"/>
    <mergeCell ref="A38:M38"/>
    <mergeCell ref="A39:B39"/>
    <mergeCell ref="C39:I39"/>
    <mergeCell ref="A40:B40"/>
    <mergeCell ref="C40:I40"/>
    <mergeCell ref="A32:B32"/>
    <mergeCell ref="C32:I32"/>
    <mergeCell ref="A33:B33"/>
    <mergeCell ref="C33:I33"/>
    <mergeCell ref="A34:B34"/>
    <mergeCell ref="C34:I34"/>
    <mergeCell ref="A29:B29"/>
    <mergeCell ref="C29:I29"/>
    <mergeCell ref="A30:B30"/>
    <mergeCell ref="C30:I30"/>
    <mergeCell ref="A31:B31"/>
    <mergeCell ref="C31:I31"/>
    <mergeCell ref="A28:B28"/>
    <mergeCell ref="C28:I28"/>
    <mergeCell ref="A22:B22"/>
    <mergeCell ref="C22:I22"/>
    <mergeCell ref="A23:B23"/>
    <mergeCell ref="C23:I23"/>
    <mergeCell ref="A24:B24"/>
    <mergeCell ref="C24:I24"/>
    <mergeCell ref="A25:B25"/>
    <mergeCell ref="C25:I25"/>
    <mergeCell ref="A26:M26"/>
    <mergeCell ref="A27:B27"/>
    <mergeCell ref="C27:I27"/>
    <mergeCell ref="A19:B19"/>
    <mergeCell ref="C19:I19"/>
    <mergeCell ref="A20:B20"/>
    <mergeCell ref="C20:I20"/>
    <mergeCell ref="A21:B21"/>
    <mergeCell ref="C21:I21"/>
    <mergeCell ref="A16:B16"/>
    <mergeCell ref="C16:I16"/>
    <mergeCell ref="A17:B17"/>
    <mergeCell ref="C17:I17"/>
    <mergeCell ref="A18:B18"/>
    <mergeCell ref="C18:I18"/>
    <mergeCell ref="M13:M14"/>
    <mergeCell ref="A15:M15"/>
    <mergeCell ref="A10:M10"/>
    <mergeCell ref="A11:M11"/>
    <mergeCell ref="A12:B14"/>
    <mergeCell ref="C12:I14"/>
    <mergeCell ref="J12:K12"/>
    <mergeCell ref="L12:M12"/>
    <mergeCell ref="J13:J14"/>
    <mergeCell ref="K13:K14"/>
    <mergeCell ref="L13:L14"/>
    <mergeCell ref="A8:J8"/>
    <mergeCell ref="K6:L6"/>
    <mergeCell ref="A1:L1"/>
    <mergeCell ref="A2:L2"/>
    <mergeCell ref="A3:L3"/>
    <mergeCell ref="A6:J6"/>
    <mergeCell ref="A7:C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55"/>
  <sheetViews>
    <sheetView view="pageBreakPreview" zoomScaleNormal="90" zoomScaleSheetLayoutView="100" workbookViewId="0">
      <selection activeCell="A10" sqref="A10:E11"/>
    </sheetView>
  </sheetViews>
  <sheetFormatPr defaultRowHeight="14.25" x14ac:dyDescent="0.2"/>
  <cols>
    <col min="1" max="1" width="10.28515625" style="34" customWidth="1"/>
    <col min="2" max="2" width="56.7109375" style="34" customWidth="1"/>
    <col min="3" max="3" width="18.7109375" style="34" customWidth="1"/>
    <col min="4" max="4" width="2" style="34" customWidth="1"/>
    <col min="5" max="5" width="14.7109375" style="34" customWidth="1"/>
    <col min="6" max="6" width="1" style="34" customWidth="1"/>
    <col min="7" max="7" width="10.42578125" style="34" customWidth="1"/>
    <col min="8" max="8" width="11.42578125" style="34" customWidth="1"/>
    <col min="9" max="9" width="2.140625" style="34" customWidth="1"/>
    <col min="10" max="13" width="9.140625" style="34"/>
    <col min="14" max="14" width="69.7109375" style="34" customWidth="1"/>
    <col min="15" max="15" width="9.7109375" style="34" bestFit="1" customWidth="1"/>
    <col min="16" max="16" width="13.28515625" style="34" customWidth="1"/>
    <col min="17" max="17" width="14.42578125" style="34" customWidth="1"/>
    <col min="18" max="18" width="23.28515625" style="34" customWidth="1"/>
    <col min="19" max="16384" width="9.140625" style="34"/>
  </cols>
  <sheetData>
    <row r="1" spans="1:51" ht="23.25" x14ac:dyDescent="0.35">
      <c r="A1" s="750" t="s">
        <v>13</v>
      </c>
      <c r="B1" s="751"/>
      <c r="C1" s="751"/>
      <c r="D1" s="751"/>
      <c r="E1" s="751"/>
      <c r="F1" s="371"/>
      <c r="G1" s="371"/>
      <c r="H1" s="372"/>
    </row>
    <row r="2" spans="1:51" ht="20.25" x14ac:dyDescent="0.3">
      <c r="A2" s="752" t="s">
        <v>148</v>
      </c>
      <c r="B2" s="753"/>
      <c r="C2" s="753"/>
      <c r="D2" s="753"/>
      <c r="E2" s="753"/>
      <c r="F2" s="373"/>
      <c r="G2" s="373"/>
      <c r="H2" s="374"/>
    </row>
    <row r="3" spans="1:51" ht="18" x14ac:dyDescent="0.25">
      <c r="A3" s="569" t="s">
        <v>141</v>
      </c>
      <c r="B3" s="616"/>
      <c r="C3" s="616"/>
      <c r="D3" s="616"/>
      <c r="E3" s="616"/>
      <c r="F3" s="373"/>
      <c r="G3" s="373"/>
      <c r="H3" s="374"/>
    </row>
    <row r="4" spans="1:51" x14ac:dyDescent="0.2">
      <c r="A4" s="33"/>
      <c r="B4" s="373"/>
      <c r="C4" s="373"/>
      <c r="D4" s="373"/>
      <c r="E4" s="373"/>
      <c r="F4" s="373"/>
      <c r="G4" s="373"/>
      <c r="H4" s="374"/>
    </row>
    <row r="5" spans="1:51" ht="15.75" x14ac:dyDescent="0.25">
      <c r="A5" s="235" t="s">
        <v>6</v>
      </c>
      <c r="B5" s="236"/>
      <c r="C5" s="1"/>
      <c r="D5" s="558" t="s">
        <v>8</v>
      </c>
      <c r="E5" s="558"/>
      <c r="F5" s="373"/>
      <c r="G5" s="373"/>
      <c r="H5" s="374"/>
    </row>
    <row r="6" spans="1:51" ht="36" customHeight="1" x14ac:dyDescent="0.25">
      <c r="A6" s="754" t="str">
        <f>'ENCARGOS SOCIAIS'!A6:J6</f>
        <v>Serviços de Recuperação de Ambientes no ICS</v>
      </c>
      <c r="B6" s="755"/>
      <c r="C6" s="755"/>
      <c r="D6" s="559" t="str">
        <f>SERVIÇOS!D5</f>
        <v>JANEIRO/2021</v>
      </c>
      <c r="E6" s="756"/>
      <c r="F6" s="373"/>
      <c r="G6" s="373"/>
      <c r="H6" s="374"/>
    </row>
    <row r="7" spans="1:51" ht="15.75" x14ac:dyDescent="0.25">
      <c r="A7" s="560" t="s">
        <v>7</v>
      </c>
      <c r="B7" s="561"/>
      <c r="C7" s="561"/>
      <c r="D7" s="558" t="s">
        <v>10</v>
      </c>
      <c r="E7" s="558"/>
      <c r="F7" s="373"/>
      <c r="G7" s="757" t="s">
        <v>143</v>
      </c>
      <c r="H7" s="578"/>
    </row>
    <row r="8" spans="1:51" ht="16.5" thickBot="1" x14ac:dyDescent="0.3">
      <c r="A8" s="758" t="str">
        <f>SERVIÇOS!A7</f>
        <v>Campus Universitário do Canela - Salvador - Bahia</v>
      </c>
      <c r="B8" s="759"/>
      <c r="C8" s="759"/>
      <c r="D8" s="760">
        <f>SERVIÇOS!D7</f>
        <v>54.86</v>
      </c>
      <c r="E8" s="760"/>
      <c r="F8" s="375"/>
      <c r="G8" s="582">
        <f ca="1">NOW()</f>
        <v>44229.443061226855</v>
      </c>
      <c r="H8" s="761"/>
    </row>
    <row r="9" spans="1:51" ht="15.75" thickTop="1" thickBot="1" x14ac:dyDescent="0.25"/>
    <row r="10" spans="1:51" s="386" customFormat="1" ht="14.25" customHeight="1" thickTop="1" x14ac:dyDescent="0.2">
      <c r="A10" s="762" t="s">
        <v>146</v>
      </c>
      <c r="B10" s="763"/>
      <c r="C10" s="763"/>
      <c r="D10" s="763"/>
      <c r="E10" s="764"/>
      <c r="F10" s="376"/>
      <c r="G10" s="377"/>
      <c r="H10" s="378"/>
      <c r="I10" s="379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1"/>
      <c r="U10" s="382"/>
      <c r="V10" s="381"/>
      <c r="W10" s="381"/>
      <c r="X10" s="381"/>
      <c r="Y10" s="381"/>
      <c r="Z10" s="383"/>
      <c r="AA10" s="381"/>
      <c r="AB10" s="381"/>
      <c r="AC10" s="381"/>
      <c r="AD10" s="381"/>
      <c r="AE10" s="744"/>
      <c r="AF10" s="381"/>
      <c r="AG10" s="381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5"/>
    </row>
    <row r="11" spans="1:51" s="386" customFormat="1" ht="14.25" customHeight="1" thickBot="1" x14ac:dyDescent="0.25">
      <c r="A11" s="765"/>
      <c r="B11" s="766"/>
      <c r="C11" s="766"/>
      <c r="D11" s="766"/>
      <c r="E11" s="767"/>
      <c r="F11" s="376"/>
      <c r="G11" s="387"/>
      <c r="H11" s="388"/>
      <c r="I11" s="379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1"/>
      <c r="U11" s="382"/>
      <c r="V11" s="381"/>
      <c r="W11" s="381"/>
      <c r="X11" s="381"/>
      <c r="Y11" s="381"/>
      <c r="Z11" s="383"/>
      <c r="AA11" s="381"/>
      <c r="AB11" s="381"/>
      <c r="AC11" s="381"/>
      <c r="AD11" s="381"/>
      <c r="AE11" s="744"/>
      <c r="AF11" s="381"/>
      <c r="AG11" s="381"/>
      <c r="AH11" s="384"/>
      <c r="AI11" s="384"/>
      <c r="AJ11" s="384"/>
      <c r="AK11" s="384"/>
      <c r="AL11" s="384"/>
      <c r="AM11" s="384"/>
      <c r="AN11" s="384"/>
      <c r="AO11" s="384"/>
      <c r="AP11" s="384"/>
      <c r="AQ11" s="384"/>
      <c r="AR11" s="384"/>
      <c r="AS11" s="384"/>
      <c r="AT11" s="384"/>
      <c r="AU11" s="384"/>
      <c r="AV11" s="384"/>
      <c r="AW11" s="384"/>
      <c r="AX11" s="384"/>
      <c r="AY11" s="385"/>
    </row>
    <row r="12" spans="1:51" s="386" customFormat="1" ht="4.5" customHeight="1" thickBot="1" x14ac:dyDescent="0.25">
      <c r="A12" s="389"/>
      <c r="B12" s="390"/>
      <c r="C12" s="390"/>
      <c r="D12" s="390"/>
      <c r="E12" s="391"/>
      <c r="F12" s="392"/>
      <c r="G12" s="393"/>
      <c r="H12" s="388"/>
      <c r="I12" s="379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1"/>
      <c r="U12" s="382"/>
      <c r="V12" s="381"/>
      <c r="W12" s="381"/>
      <c r="X12" s="381"/>
      <c r="Y12" s="381"/>
      <c r="Z12" s="383"/>
      <c r="AA12" s="381"/>
      <c r="AB12" s="381"/>
      <c r="AC12" s="381"/>
      <c r="AD12" s="381"/>
      <c r="AE12" s="744"/>
      <c r="AF12" s="381"/>
      <c r="AG12" s="381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  <c r="AT12" s="384"/>
      <c r="AU12" s="384"/>
      <c r="AV12" s="384"/>
      <c r="AW12" s="384"/>
      <c r="AX12" s="384"/>
      <c r="AY12" s="385"/>
    </row>
    <row r="13" spans="1:51" s="386" customFormat="1" ht="27" customHeight="1" thickBot="1" x14ac:dyDescent="0.25">
      <c r="A13" s="745" t="str">
        <f>SERVIÇOS!A5</f>
        <v>Serviços de Recuperação de Ambientes no ICS</v>
      </c>
      <c r="B13" s="746"/>
      <c r="C13" s="747" t="s">
        <v>94</v>
      </c>
      <c r="D13" s="748"/>
      <c r="E13" s="394"/>
      <c r="F13" s="395"/>
      <c r="G13" s="396"/>
      <c r="H13" s="397"/>
      <c r="I13" s="379"/>
      <c r="J13" s="380"/>
      <c r="K13" s="380"/>
      <c r="L13" s="398"/>
      <c r="M13" s="749"/>
      <c r="N13" s="749"/>
      <c r="O13" s="749"/>
      <c r="P13" s="380"/>
      <c r="Q13" s="380"/>
      <c r="R13" s="380"/>
      <c r="S13" s="380"/>
      <c r="T13" s="380"/>
      <c r="U13" s="399"/>
      <c r="V13" s="400"/>
      <c r="W13" s="401"/>
      <c r="X13" s="402"/>
      <c r="Y13" s="403"/>
      <c r="Z13" s="404"/>
      <c r="AA13" s="405"/>
      <c r="AB13" s="406"/>
      <c r="AC13" s="406"/>
      <c r="AD13" s="406"/>
      <c r="AE13" s="744"/>
      <c r="AF13" s="405"/>
      <c r="AG13" s="380"/>
      <c r="AH13" s="384"/>
      <c r="AI13" s="384"/>
      <c r="AJ13" s="384"/>
      <c r="AK13" s="384"/>
      <c r="AL13" s="384"/>
      <c r="AM13" s="384"/>
      <c r="AN13" s="384"/>
      <c r="AO13" s="384"/>
      <c r="AP13" s="384"/>
      <c r="AQ13" s="384"/>
      <c r="AR13" s="384"/>
      <c r="AS13" s="384"/>
      <c r="AT13" s="384"/>
      <c r="AU13" s="384"/>
      <c r="AV13" s="384"/>
      <c r="AW13" s="384"/>
      <c r="AX13" s="384"/>
      <c r="AY13" s="385"/>
    </row>
    <row r="14" spans="1:51" s="386" customFormat="1" ht="14.25" customHeight="1" thickBot="1" x14ac:dyDescent="0.25">
      <c r="A14" s="407" t="s">
        <v>95</v>
      </c>
      <c r="B14" s="408"/>
      <c r="C14" s="747" t="s">
        <v>96</v>
      </c>
      <c r="D14" s="748"/>
      <c r="E14" s="409">
        <f ca="1">SERVIÇOS!F5</f>
        <v>44229.443061226855</v>
      </c>
      <c r="F14" s="392"/>
      <c r="G14" s="410"/>
      <c r="H14" s="411"/>
      <c r="I14" s="379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99"/>
      <c r="V14" s="400"/>
      <c r="W14" s="401"/>
      <c r="X14" s="402"/>
      <c r="Y14" s="412"/>
      <c r="Z14" s="413"/>
      <c r="AA14" s="414"/>
      <c r="AB14" s="406"/>
      <c r="AC14" s="406"/>
      <c r="AD14" s="406"/>
      <c r="AE14" s="744"/>
      <c r="AF14" s="414"/>
      <c r="AG14" s="380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  <c r="AY14" s="385"/>
    </row>
    <row r="15" spans="1:51" ht="3.75" customHeight="1" thickBot="1" x14ac:dyDescent="0.25">
      <c r="A15" s="415"/>
      <c r="B15" s="416"/>
      <c r="C15" s="416"/>
      <c r="D15" s="416"/>
      <c r="E15" s="416"/>
      <c r="F15" s="373"/>
      <c r="G15" s="373"/>
      <c r="H15" s="374"/>
    </row>
    <row r="16" spans="1:51" ht="18" customHeight="1" thickBot="1" x14ac:dyDescent="0.25">
      <c r="A16" s="725" t="s">
        <v>150</v>
      </c>
      <c r="B16" s="726"/>
      <c r="C16" s="726"/>
      <c r="D16" s="726"/>
      <c r="E16" s="726"/>
      <c r="F16" s="726"/>
      <c r="G16" s="726"/>
      <c r="H16" s="727"/>
    </row>
    <row r="17" spans="1:18" ht="3.75" customHeight="1" thickBot="1" x14ac:dyDescent="0.25">
      <c r="A17" s="415"/>
      <c r="B17" s="416"/>
      <c r="C17" s="416"/>
      <c r="D17" s="416"/>
      <c r="E17" s="416"/>
      <c r="F17" s="373"/>
      <c r="G17" s="373"/>
      <c r="H17" s="374"/>
    </row>
    <row r="18" spans="1:18" ht="15.75" thickBot="1" x14ac:dyDescent="0.25">
      <c r="A18" s="725" t="s">
        <v>97</v>
      </c>
      <c r="B18" s="726"/>
      <c r="C18" s="727"/>
      <c r="D18" s="416"/>
      <c r="E18" s="728" t="s">
        <v>98</v>
      </c>
      <c r="F18" s="729"/>
      <c r="G18" s="730"/>
      <c r="H18" s="731"/>
    </row>
    <row r="19" spans="1:18" ht="22.5" customHeight="1" x14ac:dyDescent="0.25">
      <c r="A19" s="736" t="s">
        <v>20</v>
      </c>
      <c r="B19" s="738" t="s">
        <v>99</v>
      </c>
      <c r="C19" s="740" t="s">
        <v>100</v>
      </c>
      <c r="D19" s="417"/>
      <c r="E19" s="732"/>
      <c r="F19" s="733"/>
      <c r="G19" s="734"/>
      <c r="H19" s="735"/>
      <c r="N19" s="418"/>
      <c r="O19" s="419"/>
      <c r="P19" s="420"/>
      <c r="Q19" s="421"/>
      <c r="R19" s="421"/>
    </row>
    <row r="20" spans="1:18" ht="18.75" thickBot="1" x14ac:dyDescent="0.3">
      <c r="A20" s="737"/>
      <c r="B20" s="739"/>
      <c r="C20" s="741"/>
      <c r="D20" s="417"/>
      <c r="E20" s="422" t="s">
        <v>101</v>
      </c>
      <c r="F20" s="742" t="s">
        <v>102</v>
      </c>
      <c r="G20" s="743"/>
      <c r="H20" s="423" t="s">
        <v>103</v>
      </c>
      <c r="N20" s="418"/>
      <c r="O20" s="419"/>
      <c r="P20" s="420"/>
      <c r="Q20" s="421"/>
      <c r="R20" s="421"/>
    </row>
    <row r="21" spans="1:18" ht="3" customHeight="1" thickBot="1" x14ac:dyDescent="0.3">
      <c r="A21" s="721"/>
      <c r="B21" s="722"/>
      <c r="C21" s="722"/>
      <c r="D21" s="424"/>
      <c r="E21" s="424"/>
      <c r="F21" s="373"/>
      <c r="G21" s="373"/>
      <c r="H21" s="374"/>
      <c r="N21" s="418"/>
      <c r="O21" s="425"/>
      <c r="P21" s="426"/>
      <c r="Q21" s="426"/>
      <c r="R21" s="426"/>
    </row>
    <row r="22" spans="1:18" ht="18" x14ac:dyDescent="0.25">
      <c r="A22" s="427" t="s">
        <v>104</v>
      </c>
      <c r="B22" s="704" t="s">
        <v>105</v>
      </c>
      <c r="C22" s="705"/>
      <c r="D22" s="428"/>
      <c r="E22" s="429"/>
      <c r="F22" s="723"/>
      <c r="G22" s="724"/>
      <c r="H22" s="430"/>
      <c r="N22" s="426"/>
      <c r="O22" s="425"/>
      <c r="P22" s="431"/>
      <c r="Q22" s="426"/>
      <c r="R22" s="426"/>
    </row>
    <row r="23" spans="1:18" ht="18" x14ac:dyDescent="0.25">
      <c r="A23" s="432" t="s">
        <v>35</v>
      </c>
      <c r="B23" s="433" t="s">
        <v>106</v>
      </c>
      <c r="C23" s="434">
        <v>0.01</v>
      </c>
      <c r="D23" s="435"/>
      <c r="E23" s="436">
        <v>8.0000000000000002E-3</v>
      </c>
      <c r="F23" s="717">
        <v>8.0000000000000002E-3</v>
      </c>
      <c r="G23" s="718"/>
      <c r="H23" s="437">
        <v>0.01</v>
      </c>
      <c r="N23" s="426"/>
      <c r="O23" s="438"/>
      <c r="P23" s="439"/>
      <c r="Q23" s="440"/>
      <c r="R23" s="441"/>
    </row>
    <row r="24" spans="1:18" ht="18" x14ac:dyDescent="0.25">
      <c r="A24" s="432" t="s">
        <v>37</v>
      </c>
      <c r="B24" s="433" t="s">
        <v>107</v>
      </c>
      <c r="C24" s="434">
        <v>1.23E-2</v>
      </c>
      <c r="D24" s="435"/>
      <c r="E24" s="436">
        <v>9.7000000000000003E-3</v>
      </c>
      <c r="F24" s="717">
        <v>1.2699999999999999E-2</v>
      </c>
      <c r="G24" s="718"/>
      <c r="H24" s="437">
        <v>1.2699999999999999E-2</v>
      </c>
      <c r="N24" s="426"/>
      <c r="O24" s="438"/>
      <c r="P24" s="439"/>
      <c r="Q24" s="442"/>
      <c r="R24" s="441"/>
    </row>
    <row r="25" spans="1:18" ht="18" x14ac:dyDescent="0.25">
      <c r="A25" s="432" t="s">
        <v>39</v>
      </c>
      <c r="B25" s="433" t="s">
        <v>108</v>
      </c>
      <c r="C25" s="434">
        <v>1.2999999999999999E-2</v>
      </c>
      <c r="D25" s="435"/>
      <c r="E25" s="436">
        <v>5.8999999999999999E-3</v>
      </c>
      <c r="F25" s="717">
        <v>1.23E-2</v>
      </c>
      <c r="G25" s="718"/>
      <c r="H25" s="437">
        <v>1.3899999999999999E-2</v>
      </c>
      <c r="N25" s="426"/>
      <c r="O25" s="438"/>
      <c r="P25" s="439"/>
      <c r="Q25" s="442"/>
      <c r="R25" s="441"/>
    </row>
    <row r="26" spans="1:18" ht="18" x14ac:dyDescent="0.25">
      <c r="A26" s="432" t="s">
        <v>41</v>
      </c>
      <c r="B26" s="433" t="s">
        <v>109</v>
      </c>
      <c r="C26" s="434">
        <v>0.05</v>
      </c>
      <c r="D26" s="435"/>
      <c r="E26" s="436">
        <v>0.03</v>
      </c>
      <c r="F26" s="717">
        <v>0.04</v>
      </c>
      <c r="G26" s="718"/>
      <c r="H26" s="437">
        <v>5.5E-2</v>
      </c>
      <c r="N26" s="426"/>
      <c r="O26" s="438"/>
      <c r="P26" s="439"/>
      <c r="Q26" s="442"/>
      <c r="R26" s="441"/>
    </row>
    <row r="27" spans="1:18" ht="18.75" thickBot="1" x14ac:dyDescent="0.3">
      <c r="A27" s="685" t="s">
        <v>110</v>
      </c>
      <c r="B27" s="686"/>
      <c r="C27" s="443">
        <f>SUM(C23:C26)</f>
        <v>8.5300000000000001E-2</v>
      </c>
      <c r="D27" s="444"/>
      <c r="E27" s="445"/>
      <c r="F27" s="719"/>
      <c r="G27" s="720"/>
      <c r="H27" s="446"/>
      <c r="N27" s="426"/>
      <c r="O27" s="438"/>
      <c r="P27" s="439"/>
      <c r="Q27" s="442"/>
      <c r="R27" s="441"/>
    </row>
    <row r="28" spans="1:18" ht="3" customHeight="1" thickBot="1" x14ac:dyDescent="0.3">
      <c r="A28" s="702"/>
      <c r="B28" s="703"/>
      <c r="C28" s="703"/>
      <c r="D28" s="447"/>
      <c r="E28" s="435"/>
      <c r="F28" s="435"/>
      <c r="G28" s="435"/>
      <c r="H28" s="448"/>
      <c r="N28" s="449"/>
      <c r="O28" s="449"/>
      <c r="P28" s="439"/>
      <c r="Q28" s="442"/>
      <c r="R28" s="450"/>
    </row>
    <row r="29" spans="1:18" ht="15" customHeight="1" x14ac:dyDescent="0.25">
      <c r="A29" s="427" t="s">
        <v>111</v>
      </c>
      <c r="B29" s="704" t="s">
        <v>112</v>
      </c>
      <c r="C29" s="705"/>
      <c r="D29" s="428"/>
      <c r="E29" s="451"/>
      <c r="F29" s="715"/>
      <c r="G29" s="716"/>
      <c r="H29" s="452"/>
      <c r="N29" s="449"/>
      <c r="O29" s="449"/>
      <c r="P29" s="439"/>
      <c r="Q29" s="442"/>
      <c r="R29" s="450"/>
    </row>
    <row r="30" spans="1:18" ht="15" customHeight="1" x14ac:dyDescent="0.25">
      <c r="A30" s="432" t="s">
        <v>113</v>
      </c>
      <c r="B30" s="433" t="s">
        <v>114</v>
      </c>
      <c r="C30" s="434">
        <v>0.08</v>
      </c>
      <c r="D30" s="435"/>
      <c r="E30" s="436">
        <v>6.1600000000000002E-2</v>
      </c>
      <c r="F30" s="717">
        <v>7.3999999999999996E-2</v>
      </c>
      <c r="G30" s="718"/>
      <c r="H30" s="437">
        <v>8.9599999999999999E-2</v>
      </c>
      <c r="N30" s="449"/>
      <c r="O30" s="449"/>
      <c r="P30" s="439"/>
      <c r="Q30" s="442"/>
      <c r="R30" s="450"/>
    </row>
    <row r="31" spans="1:18" ht="15" customHeight="1" thickBot="1" x14ac:dyDescent="0.3">
      <c r="A31" s="685" t="s">
        <v>115</v>
      </c>
      <c r="B31" s="686"/>
      <c r="C31" s="443">
        <f>SUM(C30)</f>
        <v>0.08</v>
      </c>
      <c r="D31" s="444"/>
      <c r="E31" s="445"/>
      <c r="F31" s="719"/>
      <c r="G31" s="720"/>
      <c r="H31" s="446"/>
      <c r="N31" s="426"/>
      <c r="O31" s="449"/>
      <c r="P31" s="439"/>
      <c r="Q31" s="442"/>
      <c r="R31" s="450"/>
    </row>
    <row r="32" spans="1:18" ht="3" customHeight="1" thickBot="1" x14ac:dyDescent="0.3">
      <c r="A32" s="702"/>
      <c r="B32" s="703"/>
      <c r="C32" s="703"/>
      <c r="D32" s="447"/>
      <c r="E32" s="435"/>
      <c r="F32" s="435"/>
      <c r="G32" s="435"/>
      <c r="H32" s="448"/>
      <c r="N32" s="426"/>
      <c r="O32" s="438"/>
      <c r="P32" s="439"/>
      <c r="Q32" s="442"/>
      <c r="R32" s="453"/>
    </row>
    <row r="33" spans="1:18" ht="15" customHeight="1" x14ac:dyDescent="0.25">
      <c r="A33" s="427" t="s">
        <v>116</v>
      </c>
      <c r="B33" s="704" t="s">
        <v>117</v>
      </c>
      <c r="C33" s="705"/>
      <c r="D33" s="428"/>
      <c r="E33" s="706" t="s">
        <v>118</v>
      </c>
      <c r="F33" s="707"/>
      <c r="G33" s="707"/>
      <c r="H33" s="708"/>
      <c r="N33" s="426"/>
      <c r="O33" s="425"/>
      <c r="P33" s="426"/>
      <c r="Q33" s="442"/>
      <c r="R33" s="426"/>
    </row>
    <row r="34" spans="1:18" ht="15" customHeight="1" x14ac:dyDescent="0.25">
      <c r="A34" s="432" t="s">
        <v>119</v>
      </c>
      <c r="B34" s="433" t="s">
        <v>120</v>
      </c>
      <c r="C34" s="434">
        <v>6.4999999999999997E-3</v>
      </c>
      <c r="D34" s="435"/>
      <c r="E34" s="709" t="s">
        <v>121</v>
      </c>
      <c r="F34" s="711" t="s">
        <v>122</v>
      </c>
      <c r="G34" s="711"/>
      <c r="H34" s="713" t="s">
        <v>123</v>
      </c>
      <c r="N34" s="426"/>
      <c r="O34" s="425"/>
      <c r="P34" s="426"/>
      <c r="Q34" s="442"/>
      <c r="R34" s="426"/>
    </row>
    <row r="35" spans="1:18" ht="18" customHeight="1" thickBot="1" x14ac:dyDescent="0.3">
      <c r="A35" s="432" t="s">
        <v>124</v>
      </c>
      <c r="B35" s="433" t="s">
        <v>125</v>
      </c>
      <c r="C35" s="434">
        <v>0.03</v>
      </c>
      <c r="D35" s="435"/>
      <c r="E35" s="710"/>
      <c r="F35" s="712"/>
      <c r="G35" s="712"/>
      <c r="H35" s="714"/>
      <c r="N35" s="454"/>
      <c r="O35" s="425"/>
      <c r="P35" s="426"/>
      <c r="Q35" s="426"/>
      <c r="R35" s="426"/>
    </row>
    <row r="36" spans="1:18" ht="3.75" customHeight="1" thickBot="1" x14ac:dyDescent="0.3">
      <c r="A36" s="668" t="s">
        <v>126</v>
      </c>
      <c r="B36" s="670" t="s">
        <v>127</v>
      </c>
      <c r="C36" s="672">
        <f>H37</f>
        <v>2.5000000000000001E-2</v>
      </c>
      <c r="D36" s="435"/>
      <c r="E36" s="455"/>
      <c r="F36" s="435"/>
      <c r="G36" s="435"/>
      <c r="H36" s="448"/>
      <c r="N36" s="426"/>
      <c r="O36" s="456"/>
      <c r="P36" s="457"/>
      <c r="Q36" s="426"/>
      <c r="R36" s="426"/>
    </row>
    <row r="37" spans="1:18" ht="13.5" customHeight="1" thickBot="1" x14ac:dyDescent="0.3">
      <c r="A37" s="669"/>
      <c r="B37" s="671"/>
      <c r="C37" s="673"/>
      <c r="D37" s="435"/>
      <c r="E37" s="458">
        <v>0.05</v>
      </c>
      <c r="F37" s="674">
        <v>0.5</v>
      </c>
      <c r="G37" s="675"/>
      <c r="H37" s="459">
        <f>E37*F37</f>
        <v>2.5000000000000001E-2</v>
      </c>
      <c r="N37" s="460"/>
      <c r="O37" s="461"/>
      <c r="P37" s="462"/>
      <c r="Q37" s="463"/>
      <c r="R37" s="463"/>
    </row>
    <row r="38" spans="1:18" ht="15" customHeight="1" thickBot="1" x14ac:dyDescent="0.25">
      <c r="A38" s="464" t="s">
        <v>128</v>
      </c>
      <c r="B38" s="465" t="s">
        <v>136</v>
      </c>
      <c r="C38" s="466">
        <v>0</v>
      </c>
      <c r="D38" s="435"/>
      <c r="E38" s="435"/>
      <c r="F38" s="684"/>
      <c r="G38" s="684"/>
      <c r="H38" s="448"/>
    </row>
    <row r="39" spans="1:18" ht="15" customHeight="1" thickBot="1" x14ac:dyDescent="0.25">
      <c r="A39" s="685" t="s">
        <v>129</v>
      </c>
      <c r="B39" s="686"/>
      <c r="C39" s="443">
        <f>SUM(C34:C38)</f>
        <v>6.1499999999999999E-2</v>
      </c>
      <c r="D39" s="444"/>
      <c r="E39" s="687" t="s">
        <v>130</v>
      </c>
      <c r="F39" s="688"/>
      <c r="G39" s="688"/>
      <c r="H39" s="689"/>
    </row>
    <row r="40" spans="1:18" ht="6" customHeight="1" x14ac:dyDescent="0.2">
      <c r="A40" s="693"/>
      <c r="B40" s="694"/>
      <c r="C40" s="694"/>
      <c r="D40" s="467"/>
      <c r="E40" s="690"/>
      <c r="F40" s="691"/>
      <c r="G40" s="691"/>
      <c r="H40" s="692"/>
    </row>
    <row r="41" spans="1:18" x14ac:dyDescent="0.2">
      <c r="A41" s="468"/>
      <c r="B41" s="428" t="s">
        <v>131</v>
      </c>
      <c r="C41" s="469"/>
      <c r="D41" s="469"/>
      <c r="E41" s="690"/>
      <c r="F41" s="691"/>
      <c r="G41" s="691"/>
      <c r="H41" s="692"/>
    </row>
    <row r="42" spans="1:18" ht="3.75" customHeight="1" thickBot="1" x14ac:dyDescent="0.25">
      <c r="A42" s="470"/>
      <c r="B42" s="467"/>
      <c r="C42" s="467"/>
      <c r="D42" s="467"/>
      <c r="E42" s="690"/>
      <c r="F42" s="691"/>
      <c r="G42" s="691"/>
      <c r="H42" s="692"/>
    </row>
    <row r="43" spans="1:18" x14ac:dyDescent="0.2">
      <c r="A43" s="695" t="s">
        <v>132</v>
      </c>
      <c r="B43" s="696"/>
      <c r="C43" s="697"/>
      <c r="D43" s="405"/>
      <c r="E43" s="690"/>
      <c r="F43" s="691"/>
      <c r="G43" s="691"/>
      <c r="H43" s="692"/>
    </row>
    <row r="44" spans="1:18" ht="15" thickBot="1" x14ac:dyDescent="0.25">
      <c r="A44" s="698"/>
      <c r="B44" s="699"/>
      <c r="C44" s="700"/>
      <c r="D44" s="405"/>
      <c r="E44" s="422" t="s">
        <v>133</v>
      </c>
      <c r="F44" s="701" t="s">
        <v>102</v>
      </c>
      <c r="G44" s="701"/>
      <c r="H44" s="423" t="s">
        <v>134</v>
      </c>
    </row>
    <row r="45" spans="1:18" ht="3.75" customHeight="1" thickBot="1" x14ac:dyDescent="0.25">
      <c r="A45" s="471"/>
      <c r="B45" s="472"/>
      <c r="C45" s="473"/>
      <c r="D45" s="473"/>
      <c r="E45" s="473"/>
      <c r="F45" s="373"/>
      <c r="G45" s="373"/>
      <c r="H45" s="374"/>
    </row>
    <row r="46" spans="1:18" ht="16.5" thickBot="1" x14ac:dyDescent="0.25">
      <c r="A46" s="676" t="s">
        <v>135</v>
      </c>
      <c r="B46" s="677"/>
      <c r="C46" s="680">
        <f>(((1+C26+C23+C24)*(1+C25)*(1+C31))/(1-C39))-1</f>
        <v>0.25001501545018612</v>
      </c>
      <c r="D46" s="474"/>
      <c r="E46" s="458">
        <v>0.2034</v>
      </c>
      <c r="F46" s="682">
        <v>0.22120000000000001</v>
      </c>
      <c r="G46" s="683"/>
      <c r="H46" s="475">
        <v>0.25</v>
      </c>
    </row>
    <row r="47" spans="1:18" ht="16.5" thickBot="1" x14ac:dyDescent="0.25">
      <c r="A47" s="678"/>
      <c r="B47" s="679"/>
      <c r="C47" s="681"/>
      <c r="D47" s="476"/>
      <c r="E47" s="476"/>
      <c r="F47" s="477"/>
      <c r="G47" s="477"/>
      <c r="H47" s="478"/>
    </row>
    <row r="49" spans="2:4" ht="18" x14ac:dyDescent="0.2">
      <c r="B49" s="479"/>
    </row>
    <row r="51" spans="2:4" ht="18" x14ac:dyDescent="0.25">
      <c r="D51" s="480"/>
    </row>
    <row r="55" spans="2:4" x14ac:dyDescent="0.2">
      <c r="B55" s="481"/>
    </row>
  </sheetData>
  <mergeCells count="59">
    <mergeCell ref="A16:H16"/>
    <mergeCell ref="A7:C7"/>
    <mergeCell ref="D7:E7"/>
    <mergeCell ref="G7:H7"/>
    <mergeCell ref="A8:C8"/>
    <mergeCell ref="D8:E8"/>
    <mergeCell ref="G8:H8"/>
    <mergeCell ref="A10:E11"/>
    <mergeCell ref="A1:E1"/>
    <mergeCell ref="A2:E2"/>
    <mergeCell ref="A3:E3"/>
    <mergeCell ref="D5:E5"/>
    <mergeCell ref="A6:C6"/>
    <mergeCell ref="D6:E6"/>
    <mergeCell ref="AE10:AE14"/>
    <mergeCell ref="A13:B13"/>
    <mergeCell ref="C13:D13"/>
    <mergeCell ref="M13:O13"/>
    <mergeCell ref="C14:D14"/>
    <mergeCell ref="A18:C18"/>
    <mergeCell ref="E18:H19"/>
    <mergeCell ref="A19:A20"/>
    <mergeCell ref="B19:B20"/>
    <mergeCell ref="C19:C20"/>
    <mergeCell ref="F20:G20"/>
    <mergeCell ref="A21:C21"/>
    <mergeCell ref="B22:C22"/>
    <mergeCell ref="F22:G22"/>
    <mergeCell ref="F23:G23"/>
    <mergeCell ref="F24:G24"/>
    <mergeCell ref="F25:G25"/>
    <mergeCell ref="F26:G26"/>
    <mergeCell ref="A27:B27"/>
    <mergeCell ref="F27:G27"/>
    <mergeCell ref="A28:C28"/>
    <mergeCell ref="B29:C29"/>
    <mergeCell ref="F29:G29"/>
    <mergeCell ref="F30:G30"/>
    <mergeCell ref="A31:B31"/>
    <mergeCell ref="F31:G31"/>
    <mergeCell ref="A32:C32"/>
    <mergeCell ref="B33:C33"/>
    <mergeCell ref="E33:H33"/>
    <mergeCell ref="E34:E35"/>
    <mergeCell ref="F34:G35"/>
    <mergeCell ref="H34:H35"/>
    <mergeCell ref="A36:A37"/>
    <mergeCell ref="B36:B37"/>
    <mergeCell ref="C36:C37"/>
    <mergeCell ref="F37:G37"/>
    <mergeCell ref="A46:B47"/>
    <mergeCell ref="C46:C47"/>
    <mergeCell ref="F46:G46"/>
    <mergeCell ref="F38:G38"/>
    <mergeCell ref="A39:B39"/>
    <mergeCell ref="E39:H43"/>
    <mergeCell ref="A40:C40"/>
    <mergeCell ref="A43:C44"/>
    <mergeCell ref="F44:G44"/>
  </mergeCells>
  <conditionalFormatting sqref="L13 U13:V14 Y13:AD14 AF13:AG14 O14 Q10:S12 AK10:AK14 AM10:AX14 T10:T14 AZ10:HH14 O10:O12 I10:I14 E12:H12 B12:C12 A12:A14 A10 E13:E14 B14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headerFooter>
    <oddFooter>&amp;L&amp;A&amp;RPágina &amp;P de &amp;N</oddFooter>
  </headerFooter>
  <colBreaks count="1" manualBreakCount="1">
    <brk id="8" min="9" max="7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SERVIÇOS</vt:lpstr>
      <vt:lpstr>COMPOSIÇÕES</vt:lpstr>
      <vt:lpstr>CRONOGRAMA</vt:lpstr>
      <vt:lpstr>ENCARGOS SOCIAIS</vt:lpstr>
      <vt:lpstr>BDI OBRAS</vt:lpstr>
      <vt:lpstr>'BDI OBRAS'!Area_de_impressao</vt:lpstr>
      <vt:lpstr>CRONOGRAMA!Area_de_impressao</vt:lpstr>
      <vt:lpstr>'ENCARGOS SOCIAIS'!Area_de_impressao</vt:lpstr>
      <vt:lpstr>SERVIÇOS!Area_de_impressao</vt:lpstr>
      <vt:lpstr>COMPOSIÇÕES!Titulos_de_impressao</vt:lpstr>
      <vt:lpstr>SERVIÇOS!Titulos_de_impressao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Inácio Antonio Alves dos Santos</dc:creator>
  <cp:lastModifiedBy>daniela chaoui</cp:lastModifiedBy>
  <cp:lastPrinted>2021-01-06T19:07:59Z</cp:lastPrinted>
  <dcterms:created xsi:type="dcterms:W3CDTF">2008-04-08T18:49:41Z</dcterms:created>
  <dcterms:modified xsi:type="dcterms:W3CDTF">2021-02-02T13:38:05Z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