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Ativo" sheetId="1" r:id="rId1"/>
    <sheet name="Passivo e PL" sheetId="2" r:id="rId2"/>
    <sheet name="DRE" sheetId="3" r:id="rId3"/>
    <sheet name="DMPL " sheetId="6" r:id="rId4"/>
    <sheet name="DFC" sheetId="5" r:id="rId5"/>
    <sheet name="Caixa e Equivalentes" sheetId="7" state="hidden" r:id="rId6"/>
    <sheet name="Empréstimos e Saldo Devesor" sheetId="8" state="hidden" r:id="rId7"/>
    <sheet name="Impostos a Recuperar" sheetId="16" state="hidden" r:id="rId8"/>
    <sheet name="Depósitos Judiciais" sheetId="9" state="hidden" r:id="rId9"/>
    <sheet name="Imobilizado" sheetId="10" state="hidden" r:id="rId10"/>
    <sheet name="Fornecedores" sheetId="11" state="hidden" r:id="rId11"/>
    <sheet name="Obrigações Trab - Fiscais" sheetId="12" state="hidden" r:id="rId12"/>
    <sheet name="Recursos de Projetos" sheetId="13" state="hidden" r:id="rId13"/>
    <sheet name="PL" sheetId="14" state="hidden" r:id="rId14"/>
    <sheet name="Plan4" sheetId="15" state="hidden" r:id="rId15"/>
    <sheet name="DMPL" sheetId="4" state="hidden" r:id="rId16"/>
  </sheets>
  <calcPr calcId="125725"/>
</workbook>
</file>

<file path=xl/calcChain.xml><?xml version="1.0" encoding="utf-8"?>
<calcChain xmlns="http://schemas.openxmlformats.org/spreadsheetml/2006/main">
  <c r="D20" i="6"/>
  <c r="D16"/>
  <c r="D31" i="3"/>
  <c r="D36"/>
  <c r="D16"/>
  <c r="F31"/>
  <c r="D14" i="1"/>
  <c r="D19" i="2"/>
  <c r="D33" i="5"/>
  <c r="D29"/>
  <c r="D35"/>
  <c r="D24"/>
  <c r="D26" s="1"/>
  <c r="D49"/>
  <c r="D50"/>
  <c r="D44"/>
  <c r="F52"/>
  <c r="F45"/>
  <c r="F36"/>
  <c r="D32"/>
  <c r="D31"/>
  <c r="D30"/>
  <c r="D25"/>
  <c r="D23"/>
  <c r="D22"/>
  <c r="D21"/>
  <c r="F26"/>
  <c r="F16"/>
  <c r="F12" i="6"/>
  <c r="H12"/>
  <c r="D12"/>
  <c r="D16" i="5"/>
  <c r="D43" s="1"/>
  <c r="D45" s="1"/>
  <c r="F16" i="3"/>
  <c r="H12" i="4"/>
  <c r="H14"/>
  <c r="D16"/>
  <c r="F16"/>
  <c r="H16"/>
  <c r="H18"/>
  <c r="D20"/>
  <c r="F20"/>
  <c r="H20"/>
  <c r="D7" i="15"/>
  <c r="F7"/>
  <c r="D17"/>
  <c r="F17"/>
  <c r="D19"/>
  <c r="F19"/>
  <c r="C7" i="14"/>
  <c r="E7"/>
  <c r="C8"/>
  <c r="E8"/>
  <c r="C7" i="13"/>
  <c r="C9"/>
  <c r="E9"/>
  <c r="C16"/>
  <c r="E16"/>
  <c r="C17"/>
  <c r="E17"/>
  <c r="C6" i="12"/>
  <c r="E6"/>
  <c r="C9"/>
  <c r="E9"/>
  <c r="C12"/>
  <c r="E12"/>
  <c r="C15"/>
  <c r="E15"/>
  <c r="C17"/>
  <c r="E17"/>
  <c r="C19"/>
  <c r="E19"/>
  <c r="C20"/>
  <c r="E20"/>
  <c r="C22"/>
  <c r="E22"/>
  <c r="C18" i="11"/>
  <c r="E18"/>
  <c r="M5" i="10"/>
  <c r="U5"/>
  <c r="M6"/>
  <c r="U6"/>
  <c r="M7"/>
  <c r="U7"/>
  <c r="M8"/>
  <c r="U8"/>
  <c r="M9"/>
  <c r="U9"/>
  <c r="C10"/>
  <c r="E10"/>
  <c r="G10"/>
  <c r="I10"/>
  <c r="K10"/>
  <c r="M10"/>
  <c r="O10"/>
  <c r="Q10"/>
  <c r="S10"/>
  <c r="U10"/>
  <c r="M12"/>
  <c r="U12"/>
  <c r="M13"/>
  <c r="U13"/>
  <c r="C14"/>
  <c r="E14"/>
  <c r="G14"/>
  <c r="I14"/>
  <c r="K14"/>
  <c r="M14"/>
  <c r="O14"/>
  <c r="Q14"/>
  <c r="S14"/>
  <c r="U14"/>
  <c r="C16"/>
  <c r="E16"/>
  <c r="G16"/>
  <c r="I16"/>
  <c r="K16"/>
  <c r="M16"/>
  <c r="O16"/>
  <c r="Q16"/>
  <c r="S16"/>
  <c r="U16"/>
  <c r="M17"/>
  <c r="U17"/>
  <c r="M18"/>
  <c r="U18"/>
  <c r="M19"/>
  <c r="U19"/>
  <c r="M20"/>
  <c r="U20"/>
  <c r="C21"/>
  <c r="E21"/>
  <c r="G21"/>
  <c r="I21"/>
  <c r="K21"/>
  <c r="M21"/>
  <c r="O21"/>
  <c r="Q21"/>
  <c r="S21"/>
  <c r="U21"/>
  <c r="M23"/>
  <c r="U23"/>
  <c r="M24"/>
  <c r="U24"/>
  <c r="C25"/>
  <c r="E25"/>
  <c r="G25"/>
  <c r="I25"/>
  <c r="K25"/>
  <c r="M25"/>
  <c r="O25"/>
  <c r="Q25"/>
  <c r="S25"/>
  <c r="U25"/>
  <c r="C27"/>
  <c r="E27"/>
  <c r="G27"/>
  <c r="I27"/>
  <c r="K27"/>
  <c r="M27"/>
  <c r="O27"/>
  <c r="Q27"/>
  <c r="S27"/>
  <c r="U27"/>
  <c r="M28"/>
  <c r="U28"/>
  <c r="M29"/>
  <c r="U29"/>
  <c r="M30"/>
  <c r="U30"/>
  <c r="M31"/>
  <c r="U31"/>
  <c r="C33"/>
  <c r="E33"/>
  <c r="G33"/>
  <c r="I33"/>
  <c r="K33"/>
  <c r="M33"/>
  <c r="O33"/>
  <c r="Q33"/>
  <c r="S33"/>
  <c r="U33"/>
  <c r="C35"/>
  <c r="E35"/>
  <c r="G35"/>
  <c r="I35"/>
  <c r="K35"/>
  <c r="M35"/>
  <c r="O35"/>
  <c r="Q35"/>
  <c r="S35"/>
  <c r="U35"/>
  <c r="C36"/>
  <c r="E36"/>
  <c r="G36"/>
  <c r="I36"/>
  <c r="K36"/>
  <c r="M36"/>
  <c r="O36"/>
  <c r="Q36"/>
  <c r="S36"/>
  <c r="U36"/>
  <c r="C37"/>
  <c r="E37"/>
  <c r="G37"/>
  <c r="I37"/>
  <c r="K37"/>
  <c r="M37"/>
  <c r="O37"/>
  <c r="Q37"/>
  <c r="S37"/>
  <c r="U37"/>
  <c r="C39"/>
  <c r="E39"/>
  <c r="G39"/>
  <c r="I39"/>
  <c r="K39"/>
  <c r="M39"/>
  <c r="O39"/>
  <c r="Q39"/>
  <c r="S39"/>
  <c r="U39"/>
  <c r="M40"/>
  <c r="U40"/>
  <c r="E41"/>
  <c r="M41"/>
  <c r="U41"/>
  <c r="M42"/>
  <c r="U42"/>
  <c r="M43"/>
  <c r="U43"/>
  <c r="M44"/>
  <c r="U44"/>
  <c r="C46"/>
  <c r="E46"/>
  <c r="G46"/>
  <c r="I46"/>
  <c r="K46"/>
  <c r="M46"/>
  <c r="O46"/>
  <c r="Q46"/>
  <c r="S46"/>
  <c r="U46"/>
  <c r="C48"/>
  <c r="E48"/>
  <c r="G48"/>
  <c r="I48"/>
  <c r="K48"/>
  <c r="M48"/>
  <c r="O48"/>
  <c r="Q48"/>
  <c r="S48"/>
  <c r="U48"/>
  <c r="C49"/>
  <c r="E49"/>
  <c r="G49"/>
  <c r="I49"/>
  <c r="K49"/>
  <c r="M49"/>
  <c r="O49"/>
  <c r="Q49"/>
  <c r="S49"/>
  <c r="U49"/>
  <c r="C50"/>
  <c r="E50"/>
  <c r="G50"/>
  <c r="I50"/>
  <c r="K50"/>
  <c r="M50"/>
  <c r="O50"/>
  <c r="Q50"/>
  <c r="S50"/>
  <c r="U50"/>
  <c r="C16" i="9"/>
  <c r="E16"/>
  <c r="D13" i="16"/>
  <c r="E13"/>
  <c r="C6" i="8"/>
  <c r="E6"/>
  <c r="C7"/>
  <c r="E7"/>
  <c r="C10"/>
  <c r="E10"/>
  <c r="C12"/>
  <c r="E12"/>
  <c r="E6" i="7"/>
  <c r="C10"/>
  <c r="E10"/>
  <c r="C13"/>
  <c r="E13"/>
  <c r="E15"/>
  <c r="C17"/>
  <c r="E17"/>
  <c r="C18"/>
  <c r="E18"/>
  <c r="C19"/>
  <c r="E19"/>
  <c r="C28"/>
  <c r="E28"/>
  <c r="C33"/>
  <c r="E33"/>
  <c r="C37"/>
  <c r="E37"/>
  <c r="C38"/>
  <c r="E38"/>
  <c r="C40"/>
  <c r="E40"/>
  <c r="D52" i="5"/>
  <c r="H14" i="6"/>
  <c r="F16"/>
  <c r="F20"/>
  <c r="H18"/>
  <c r="D12" i="2"/>
  <c r="D14"/>
  <c r="F14"/>
  <c r="F19"/>
  <c r="D22"/>
  <c r="D24"/>
  <c r="F24"/>
  <c r="D26"/>
  <c r="F26"/>
  <c r="F14" i="1"/>
  <c r="D20"/>
  <c r="D22"/>
  <c r="F20"/>
  <c r="F22"/>
  <c r="H16" i="6"/>
  <c r="H20"/>
  <c r="D14" i="5"/>
  <c r="D18" s="1"/>
  <c r="D38" s="1"/>
  <c r="D47" s="1"/>
  <c r="F36" i="3"/>
  <c r="F14" i="5"/>
  <c r="F18" s="1"/>
  <c r="F38" s="1"/>
  <c r="F47" s="1"/>
  <c r="D36"/>
</calcChain>
</file>

<file path=xl/sharedStrings.xml><?xml version="1.0" encoding="utf-8"?>
<sst xmlns="http://schemas.openxmlformats.org/spreadsheetml/2006/main" count="280" uniqueCount="205">
  <si>
    <t>FUNDAÇÃO DE APOIO À PESQUISA E À EXTENSÃO – FAPEX</t>
  </si>
  <si>
    <t xml:space="preserve"> (Em reais, centavos omitidos) </t>
  </si>
  <si>
    <t xml:space="preserve"> ATIVO </t>
  </si>
  <si>
    <t xml:space="preserve"> CIRCULANTE </t>
  </si>
  <si>
    <t xml:space="preserve">Caixa e equivalentes de caixa </t>
  </si>
  <si>
    <t>Recursos vinculados a projetos</t>
  </si>
  <si>
    <t xml:space="preserve">Antecipações de recursos à projetos </t>
  </si>
  <si>
    <t>Créditos a receber</t>
  </si>
  <si>
    <t>Outros adiantamentos</t>
  </si>
  <si>
    <t>Despesas antecipadas</t>
  </si>
  <si>
    <t xml:space="preserve">               Total do circulante </t>
  </si>
  <si>
    <t xml:space="preserve"> NÃO CIRCULANTE </t>
  </si>
  <si>
    <t>Investimento</t>
  </si>
  <si>
    <t xml:space="preserve">Imobilizado </t>
  </si>
  <si>
    <t xml:space="preserve">               Total do não circulante </t>
  </si>
  <si>
    <t xml:space="preserve">               Total do ativo </t>
  </si>
  <si>
    <t xml:space="preserve"> PASSIVO</t>
  </si>
  <si>
    <t>Fornecedores</t>
  </si>
  <si>
    <t>Provisão para encargos de projetos</t>
  </si>
  <si>
    <t>Obrigações sociais e fiscais</t>
  </si>
  <si>
    <t>Recursos de projetos</t>
  </si>
  <si>
    <t>Outras contas a pagar</t>
  </si>
  <si>
    <t>PATRIMÔNIO LÍQUIDO</t>
  </si>
  <si>
    <t>Fundo Patrimonial</t>
  </si>
  <si>
    <t>Provisão de contingência</t>
  </si>
  <si>
    <t>RECEITAS</t>
  </si>
  <si>
    <t xml:space="preserve">               Total das Receitas</t>
  </si>
  <si>
    <t>Serviços</t>
  </si>
  <si>
    <t>DEMONSTRAÇÃO DO RESULTADO</t>
  </si>
  <si>
    <t>Outras receitas operacionais</t>
  </si>
  <si>
    <t>DESPESAS</t>
  </si>
  <si>
    <t>Depreciação e amortização</t>
  </si>
  <si>
    <t>Saldo em 31 de dezembro de 2011</t>
  </si>
  <si>
    <t>Déficit do Exercício</t>
  </si>
  <si>
    <t>Saldo em 31 de dezembro de 2010</t>
  </si>
  <si>
    <t>Superávit do Exercício</t>
  </si>
  <si>
    <t>Saldo em 31 de dezembro de 2009</t>
  </si>
  <si>
    <t>TOTAL</t>
  </si>
  <si>
    <t>SUPERÁVIT (DÉFICIT) ACUMULADO</t>
  </si>
  <si>
    <t>FUNDO PATRIMONIAL</t>
  </si>
  <si>
    <t>(Em reais, centavos omitidos)</t>
  </si>
  <si>
    <t>PARA OS EXERCÍCIOS FINDOS EM 31 DE DEZEMBRO DE 2011 E DE 2010</t>
  </si>
  <si>
    <t>DEMONSTRAÇÃO DAS MUTAÇÕES DO PATRIMÔNIO LÍQUIDO</t>
  </si>
  <si>
    <t>FUNDAÇÃO DE APOIO À PESQUISA E À EXTENSÃO - FAPEX</t>
  </si>
  <si>
    <t>DEMONSTRAÇÃO DE FLUXO DE CAIXA</t>
  </si>
  <si>
    <t>DAS ATIVIDADES OPERACIONAIS</t>
  </si>
  <si>
    <t>Superávit ou (Déficit) Liquido do Exercício</t>
  </si>
  <si>
    <t>Ajustes para reconciliar o superávit do exercício com os recursos provinientes das atividades operacionais</t>
  </si>
  <si>
    <t>Depreciação e Amortização</t>
  </si>
  <si>
    <t>Superávit (Déficit) Ajustado</t>
  </si>
  <si>
    <t>Variação do Ativo Circulante</t>
  </si>
  <si>
    <t xml:space="preserve">Recursos Vinculados a Projetos </t>
  </si>
  <si>
    <t>Antecipação de recursos a projetos</t>
  </si>
  <si>
    <t>Outros Adiantamentos</t>
  </si>
  <si>
    <t>Despesas Antecipadas</t>
  </si>
  <si>
    <t>Total das variações do Ativo Circulante</t>
  </si>
  <si>
    <t>Variação do Passivo Circulante</t>
  </si>
  <si>
    <t xml:space="preserve">Obrigações Sociais e Fiscais </t>
  </si>
  <si>
    <t>Total das variações do Passivo Circulante</t>
  </si>
  <si>
    <t>Fluxo de Caixa das Atividades Operacionais</t>
  </si>
  <si>
    <t>DAS ATIVIDADES DE INVESTIMENTO</t>
  </si>
  <si>
    <t>Atividades de Investimento</t>
  </si>
  <si>
    <t>Imobilizado Líquido</t>
  </si>
  <si>
    <t>Bloqueios Judiciais - Não Circulante</t>
  </si>
  <si>
    <t>Fluxo de Caixa das Atividades de Investimento</t>
  </si>
  <si>
    <t>Fluxo Líquido de Caixa e Equivalentes de Caixa</t>
  </si>
  <si>
    <t>Caixa e Equivalentes de Caixa no Inicio do Exercício</t>
  </si>
  <si>
    <t>Caixa e Equivalentes de Caixa no Final do Exercício</t>
  </si>
  <si>
    <t>Fundo fixo</t>
  </si>
  <si>
    <t>Contas correntes recursos próprios</t>
  </si>
  <si>
    <t xml:space="preserve">   . Banco do Brasil</t>
  </si>
  <si>
    <t xml:space="preserve">   . Bradesco</t>
  </si>
  <si>
    <t xml:space="preserve">   . Caixa Econômica Federal</t>
  </si>
  <si>
    <t xml:space="preserve">   . Banco Real</t>
  </si>
  <si>
    <t>Aplicações com recursos próprios</t>
  </si>
  <si>
    <t xml:space="preserve">   . Banco do Brasil (fundos)</t>
  </si>
  <si>
    <t xml:space="preserve">   . Bradesco (fundos e renda fixa)</t>
  </si>
  <si>
    <t xml:space="preserve">   . Banco Real  (fundos)</t>
  </si>
  <si>
    <t xml:space="preserve">   . Caixa Econômica Federal (fundos)</t>
  </si>
  <si>
    <t>Total de Recursos Próprios</t>
  </si>
  <si>
    <t>Contas correntes recursos de projetos vinculados</t>
  </si>
  <si>
    <t xml:space="preserve">   . Banco do Brasil </t>
  </si>
  <si>
    <t xml:space="preserve">   . Banco do Nordeste do Brasil</t>
  </si>
  <si>
    <t>Aplicações com recursos de projetos vinculados</t>
  </si>
  <si>
    <t xml:space="preserve">   . Banco do Brasil (fundos e poupança)</t>
  </si>
  <si>
    <t xml:space="preserve">   . Bradesco  (renda fixa)</t>
  </si>
  <si>
    <t xml:space="preserve">   . Banco do Nordeste do Brasil (fundos)</t>
  </si>
  <si>
    <t>Total de Projetos Vinculados</t>
  </si>
  <si>
    <t>Empréstimos</t>
  </si>
  <si>
    <t>Projetos com saldo devedor</t>
  </si>
  <si>
    <t>Total de Projetos vinculados</t>
  </si>
  <si>
    <t>Total de Projetos livres</t>
  </si>
  <si>
    <t xml:space="preserve">          Total</t>
  </si>
  <si>
    <t>Marluse Cabral de Oliveira</t>
  </si>
  <si>
    <t>ANVISA</t>
  </si>
  <si>
    <t>Alberto Manoel Souza Lopes de Jesus e outros</t>
  </si>
  <si>
    <t>Maria Elizabete dos Reis Cavalcanti</t>
  </si>
  <si>
    <t>Maria Givalda Barbosa da Silva e outros</t>
  </si>
  <si>
    <t>FUNDAÇÃO PALMARES</t>
  </si>
  <si>
    <t>Outros</t>
  </si>
  <si>
    <t>Imóveis</t>
  </si>
  <si>
    <t>Móveis e Utensílios</t>
  </si>
  <si>
    <t>Equipamentos de informática</t>
  </si>
  <si>
    <t>Sistema aplicativo de software</t>
  </si>
  <si>
    <t>Subtotal</t>
  </si>
  <si>
    <t>Máquinas, aparelhos e equipamentos</t>
  </si>
  <si>
    <t>Veículos</t>
  </si>
  <si>
    <t>Benfeitorias em prop. de terceiros</t>
  </si>
  <si>
    <t>Total</t>
  </si>
  <si>
    <t>Em 31 de dezembro de 2009</t>
  </si>
  <si>
    <t xml:space="preserve">     Aquisições</t>
  </si>
  <si>
    <t xml:space="preserve">                         -   </t>
  </si>
  <si>
    <t xml:space="preserve">     Baixas</t>
  </si>
  <si>
    <t xml:space="preserve">                          -   </t>
  </si>
  <si>
    <t xml:space="preserve">     Transferências</t>
  </si>
  <si>
    <t xml:space="preserve">     Depreciação</t>
  </si>
  <si>
    <t>Em 31 de dezembro de 2010</t>
  </si>
  <si>
    <t xml:space="preserve">     Custo Total</t>
  </si>
  <si>
    <t xml:space="preserve">     Depreciação Acumulada</t>
  </si>
  <si>
    <t xml:space="preserve">     Valor Residual</t>
  </si>
  <si>
    <t>Fornecedores de vale alimentação</t>
  </si>
  <si>
    <t>Fornecedores de Assistência Médica</t>
  </si>
  <si>
    <t>Fornecedores de serviço PJ</t>
  </si>
  <si>
    <t>Fornecedores de serviço PF</t>
  </si>
  <si>
    <t>Fornecedores de Consultoria</t>
  </si>
  <si>
    <t>Fornecedores de Construção Civil</t>
  </si>
  <si>
    <t>Pagamentos rejeitados pelo banco</t>
  </si>
  <si>
    <t>Obrigações trabalhistas</t>
  </si>
  <si>
    <t xml:space="preserve">Férias*                                                                            </t>
  </si>
  <si>
    <t>Salários a pagar</t>
  </si>
  <si>
    <t>Rescisões a pagar</t>
  </si>
  <si>
    <t>Obrigações sociais</t>
  </si>
  <si>
    <t>INSS a recolher</t>
  </si>
  <si>
    <t>FGTS a recolher</t>
  </si>
  <si>
    <t>PIS a recolher</t>
  </si>
  <si>
    <t>Obrigações fiscais</t>
  </si>
  <si>
    <t>IRRF</t>
  </si>
  <si>
    <t>ISS retido na fonte</t>
  </si>
  <si>
    <t>PIS/COFINS/CSL retidos a recolher</t>
  </si>
  <si>
    <t xml:space="preserve"> </t>
  </si>
  <si>
    <t>Recursos de entidades públicas nacionais</t>
  </si>
  <si>
    <t>Recursos de projetos privados</t>
  </si>
  <si>
    <t>Recursos de entidades internacionais</t>
  </si>
  <si>
    <t>Projetos vinculados</t>
  </si>
  <si>
    <t>Projetos livres</t>
  </si>
  <si>
    <t>Patrimônio Social</t>
  </si>
  <si>
    <t>Superávit (Déficit) Acumulado</t>
  </si>
  <si>
    <t>. Disponibilidade em Moeda Estrangeira</t>
  </si>
  <si>
    <t>José Mario Oliveira</t>
  </si>
  <si>
    <t>Daniele Silva de Oliveira Tavares Campos</t>
  </si>
  <si>
    <t>Saldo em 31 de dezembro de 2012</t>
  </si>
  <si>
    <t>Movimentações ocorridas em 2012</t>
  </si>
  <si>
    <t>Fornecedores de vale transporte</t>
  </si>
  <si>
    <t>Agencia de Viagens e Hospedagem</t>
  </si>
  <si>
    <t>Fornecedores de Material Permanente</t>
  </si>
  <si>
    <t>Fornedores de Material de Consumo</t>
  </si>
  <si>
    <t>Remunerações</t>
  </si>
  <si>
    <t>Encargos</t>
  </si>
  <si>
    <t>Benefícios</t>
  </si>
  <si>
    <t>Manutenção</t>
  </si>
  <si>
    <t>Materiais</t>
  </si>
  <si>
    <t>Viagens e locomoções</t>
  </si>
  <si>
    <t>Serviços de terceiros</t>
  </si>
  <si>
    <t>Outras</t>
  </si>
  <si>
    <t>Condomínio</t>
  </si>
  <si>
    <t>Perdar com Projetos</t>
  </si>
  <si>
    <t xml:space="preserve">Impostos a recuperar </t>
  </si>
  <si>
    <t>ISS a recuperar</t>
  </si>
  <si>
    <t>IRPF a recuperar</t>
  </si>
  <si>
    <t>IRPJ a recuperar</t>
  </si>
  <si>
    <t>INSS a recuperara</t>
  </si>
  <si>
    <t>Alugueis a Pagar</t>
  </si>
  <si>
    <t>Terrenos</t>
  </si>
  <si>
    <t xml:space="preserve">     Reavaliação</t>
  </si>
  <si>
    <t>Movimentações ocorridas em 2013</t>
  </si>
  <si>
    <t>Saldo em 31 de dezembro de 2013</t>
  </si>
  <si>
    <t>Deminstrativo de Movimentação do Imobilizado</t>
  </si>
  <si>
    <t>Saldo em 31 de dezembro de 2014</t>
  </si>
  <si>
    <t>Total de Caixa e Equivalentes de Caixa</t>
  </si>
  <si>
    <t xml:space="preserve">   . Banco do Brasil (CDB)</t>
  </si>
  <si>
    <t xml:space="preserve">Bloqueio e Depósitos Judicial </t>
  </si>
  <si>
    <t>Empréstimos e Saldo Devedor</t>
  </si>
  <si>
    <t>Déficit acumulado</t>
  </si>
  <si>
    <t>Próprias</t>
  </si>
  <si>
    <t>Financeiras, líquidas</t>
  </si>
  <si>
    <t>BALANÇOS PATRIMONIAIS EM 31 DE DEZEMBRO DE 2015 E DE 2014</t>
  </si>
  <si>
    <t>Recebimentos Antecipados</t>
  </si>
  <si>
    <t xml:space="preserve">Serviços Voluntários </t>
  </si>
  <si>
    <t xml:space="preserve">Ressarcimento de despesas </t>
  </si>
  <si>
    <t>PARA OS EXERCÍCIOS FINDOS EM 31 DE DEZEMBRO DE 2015 E DE 2014</t>
  </si>
  <si>
    <t xml:space="preserve">Pessoal </t>
  </si>
  <si>
    <t xml:space="preserve">Gerais e administrativas </t>
  </si>
  <si>
    <t>Serviços Voluntários</t>
  </si>
  <si>
    <t xml:space="preserve">Glosas de projetos </t>
  </si>
  <si>
    <t>Saldo em 31 de dezembro de 2015</t>
  </si>
  <si>
    <t>Receitas de Exercícios Futuros</t>
  </si>
  <si>
    <t xml:space="preserve">               Total do Patrimônio Líquido</t>
  </si>
  <si>
    <t xml:space="preserve">               Total do Passivo e Patrimôno Líquido</t>
  </si>
  <si>
    <t>Execução Orçamentária de Projetos (Despesas)</t>
  </si>
  <si>
    <t>Execução Orçamentária de Projetos (Receita)</t>
  </si>
  <si>
    <t>Doações</t>
  </si>
  <si>
    <t>Despesas com contigências</t>
  </si>
  <si>
    <t>Superávit do exercício</t>
  </si>
  <si>
    <t>SUPERÁVITS (DÉFICITS) ACUMULADOS</t>
  </si>
  <si>
    <t>Contigências Passivas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</si>
</sst>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.00_);[Red]\(0.00\)"/>
  </numFmts>
  <fonts count="2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5"/>
      <name val="Calibri"/>
      <family val="2"/>
      <scheme val="minor"/>
    </font>
    <font>
      <b/>
      <sz val="5"/>
      <name val="Calibri"/>
      <family val="2"/>
      <scheme val="minor"/>
    </font>
    <font>
      <u/>
      <sz val="11"/>
      <color theme="1"/>
      <name val="Arial"/>
      <family val="2"/>
    </font>
    <font>
      <sz val="14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indent="3"/>
    </xf>
    <xf numFmtId="3" fontId="9" fillId="0" borderId="0" xfId="0" applyNumberFormat="1" applyFont="1"/>
    <xf numFmtId="3" fontId="7" fillId="0" borderId="2" xfId="0" applyNumberFormat="1" applyFont="1" applyBorder="1"/>
    <xf numFmtId="0" fontId="9" fillId="0" borderId="0" xfId="0" applyFont="1"/>
    <xf numFmtId="3" fontId="7" fillId="0" borderId="3" xfId="0" applyNumberFormat="1" applyFont="1" applyBorder="1"/>
    <xf numFmtId="3" fontId="7" fillId="0" borderId="0" xfId="0" applyNumberFormat="1" applyFont="1" applyBorder="1"/>
    <xf numFmtId="0" fontId="7" fillId="0" borderId="0" xfId="0" applyFont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0" xfId="0" applyFont="1" applyAlignment="1">
      <alignment wrapText="1"/>
    </xf>
    <xf numFmtId="166" fontId="11" fillId="0" borderId="21" xfId="2" applyNumberFormat="1" applyFont="1" applyBorder="1" applyAlignment="1">
      <alignment horizontal="left" wrapText="1" readingOrder="1"/>
    </xf>
    <xf numFmtId="166" fontId="10" fillId="0" borderId="0" xfId="2" applyNumberFormat="1" applyFont="1" applyAlignment="1">
      <alignment wrapText="1"/>
    </xf>
    <xf numFmtId="0" fontId="11" fillId="0" borderId="0" xfId="0" applyFont="1" applyAlignment="1">
      <alignment horizontal="left" wrapText="1" readingOrder="1"/>
    </xf>
    <xf numFmtId="166" fontId="10" fillId="0" borderId="22" xfId="2" applyNumberFormat="1" applyFont="1" applyBorder="1" applyAlignment="1">
      <alignment wrapText="1"/>
    </xf>
    <xf numFmtId="166" fontId="10" fillId="0" borderId="0" xfId="2" applyNumberFormat="1" applyFont="1" applyAlignment="1">
      <alignment horizontal="left" wrapText="1" readingOrder="1"/>
    </xf>
    <xf numFmtId="0" fontId="10" fillId="0" borderId="0" xfId="0" applyFont="1" applyAlignment="1">
      <alignment horizontal="left" wrapText="1" readingOrder="1"/>
    </xf>
    <xf numFmtId="0" fontId="10" fillId="0" borderId="0" xfId="0" applyFont="1" applyAlignment="1">
      <alignment horizontal="left" wrapText="1" readingOrder="1"/>
    </xf>
    <xf numFmtId="0" fontId="6" fillId="0" borderId="0" xfId="0" applyFont="1"/>
    <xf numFmtId="166" fontId="11" fillId="0" borderId="4" xfId="2" applyNumberFormat="1" applyFont="1" applyBorder="1" applyAlignment="1">
      <alignment horizontal="left" wrapText="1" readingOrder="1"/>
    </xf>
    <xf numFmtId="166" fontId="11" fillId="0" borderId="0" xfId="2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166" fontId="11" fillId="0" borderId="5" xfId="0" applyNumberFormat="1" applyFont="1" applyBorder="1" applyAlignment="1">
      <alignment wrapText="1"/>
    </xf>
    <xf numFmtId="166" fontId="11" fillId="0" borderId="5" xfId="2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 readingOrder="1"/>
    </xf>
    <xf numFmtId="0" fontId="11" fillId="0" borderId="22" xfId="0" applyFont="1" applyBorder="1" applyAlignment="1">
      <alignment horizontal="center" wrapText="1" readingOrder="1"/>
    </xf>
    <xf numFmtId="0" fontId="10" fillId="0" borderId="0" xfId="0" applyFont="1" applyAlignment="1">
      <alignment horizontal="center" wrapText="1"/>
    </xf>
    <xf numFmtId="0" fontId="12" fillId="0" borderId="22" xfId="0" applyFont="1" applyBorder="1" applyAlignment="1">
      <alignment horizontal="center" wrapText="1" readingOrder="1"/>
    </xf>
    <xf numFmtId="0" fontId="13" fillId="0" borderId="22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horizontal="right" wrapText="1" inden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3" fontId="14" fillId="0" borderId="3" xfId="0" applyNumberFormat="1" applyFont="1" applyBorder="1" applyAlignment="1">
      <alignment horizontal="right" wrapText="1"/>
    </xf>
    <xf numFmtId="3" fontId="0" fillId="0" borderId="0" xfId="0" applyNumberFormat="1"/>
    <xf numFmtId="0" fontId="6" fillId="0" borderId="0" xfId="0" applyFont="1" applyAlignment="1">
      <alignment horizontal="right" wrapText="1"/>
    </xf>
    <xf numFmtId="0" fontId="6" fillId="0" borderId="23" xfId="0" applyFont="1" applyBorder="1" applyAlignment="1">
      <alignment horizontal="right" wrapText="1" inden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3" fillId="0" borderId="0" xfId="0" applyFont="1" applyAlignment="1">
      <alignment wrapText="1"/>
    </xf>
    <xf numFmtId="3" fontId="6" fillId="0" borderId="2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7" fillId="0" borderId="1" xfId="0" applyFont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0" fillId="2" borderId="0" xfId="0" applyFill="1" applyAlignment="1">
      <alignment vertical="top" wrapText="1"/>
    </xf>
    <xf numFmtId="0" fontId="17" fillId="0" borderId="0" xfId="0" applyFont="1" applyAlignment="1">
      <alignment vertical="top" wrapText="1"/>
    </xf>
    <xf numFmtId="41" fontId="17" fillId="0" borderId="0" xfId="0" applyNumberFormat="1" applyFont="1" applyAlignment="1">
      <alignment horizontal="right" vertical="top" wrapText="1"/>
    </xf>
    <xf numFmtId="41" fontId="0" fillId="0" borderId="0" xfId="0" applyNumberFormat="1" applyAlignment="1">
      <alignment vertical="top" wrapText="1"/>
    </xf>
    <xf numFmtId="41" fontId="17" fillId="2" borderId="0" xfId="0" applyNumberFormat="1" applyFont="1" applyFill="1" applyAlignment="1">
      <alignment horizontal="right" vertical="top" wrapText="1"/>
    </xf>
    <xf numFmtId="41" fontId="0" fillId="0" borderId="0" xfId="0" applyNumberFormat="1"/>
    <xf numFmtId="0" fontId="18" fillId="0" borderId="0" xfId="0" applyFont="1" applyAlignment="1">
      <alignment vertical="top" wrapText="1"/>
    </xf>
    <xf numFmtId="41" fontId="18" fillId="0" borderId="0" xfId="0" applyNumberFormat="1" applyFont="1" applyAlignment="1">
      <alignment horizontal="right" vertical="top" wrapText="1"/>
    </xf>
    <xf numFmtId="41" fontId="18" fillId="2" borderId="0" xfId="0" applyNumberFormat="1" applyFont="1" applyFill="1" applyAlignment="1">
      <alignment horizontal="right" vertical="top" wrapText="1"/>
    </xf>
    <xf numFmtId="41" fontId="18" fillId="0" borderId="1" xfId="0" applyNumberFormat="1" applyFont="1" applyBorder="1" applyAlignment="1">
      <alignment horizontal="right" vertical="top" wrapText="1"/>
    </xf>
    <xf numFmtId="41" fontId="18" fillId="2" borderId="1" xfId="0" applyNumberFormat="1" applyFont="1" applyFill="1" applyBorder="1" applyAlignment="1">
      <alignment horizontal="right" vertical="top" wrapText="1"/>
    </xf>
    <xf numFmtId="41" fontId="17" fillId="0" borderId="3" xfId="0" applyNumberFormat="1" applyFont="1" applyBorder="1" applyAlignment="1">
      <alignment horizontal="right" vertical="top" wrapText="1"/>
    </xf>
    <xf numFmtId="41" fontId="17" fillId="2" borderId="3" xfId="0" applyNumberFormat="1" applyFont="1" applyFill="1" applyBorder="1" applyAlignment="1">
      <alignment horizontal="right" vertical="top" wrapText="1"/>
    </xf>
    <xf numFmtId="41" fontId="0" fillId="2" borderId="0" xfId="0" applyNumberFormat="1" applyFill="1" applyAlignment="1">
      <alignment vertical="top" wrapText="1"/>
    </xf>
    <xf numFmtId="41" fontId="0" fillId="0" borderId="0" xfId="0" applyNumberFormat="1" applyAlignment="1">
      <alignment horizontal="right" wrapText="1"/>
    </xf>
    <xf numFmtId="41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0" fontId="14" fillId="0" borderId="23" xfId="0" applyFont="1" applyBorder="1" applyAlignment="1">
      <alignment horizontal="right" wrapText="1" indent="1"/>
    </xf>
    <xf numFmtId="0" fontId="15" fillId="0" borderId="0" xfId="0" applyFont="1"/>
    <xf numFmtId="3" fontId="14" fillId="0" borderId="24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40" fontId="12" fillId="0" borderId="22" xfId="0" applyNumberFormat="1" applyFont="1" applyBorder="1" applyAlignment="1">
      <alignment horizontal="center" wrapText="1" readingOrder="1"/>
    </xf>
    <xf numFmtId="40" fontId="20" fillId="0" borderId="0" xfId="0" applyNumberFormat="1" applyFont="1" applyAlignment="1">
      <alignment wrapText="1"/>
    </xf>
    <xf numFmtId="40" fontId="9" fillId="0" borderId="0" xfId="0" applyNumberFormat="1" applyFont="1"/>
    <xf numFmtId="40" fontId="7" fillId="0" borderId="0" xfId="0" applyNumberFormat="1" applyFont="1"/>
    <xf numFmtId="40" fontId="0" fillId="0" borderId="0" xfId="0" applyNumberFormat="1"/>
    <xf numFmtId="40" fontId="10" fillId="0" borderId="0" xfId="0" applyNumberFormat="1" applyFont="1" applyAlignment="1">
      <alignment wrapText="1"/>
    </xf>
    <xf numFmtId="40" fontId="13" fillId="0" borderId="22" xfId="0" applyNumberFormat="1" applyFont="1" applyBorder="1" applyAlignment="1">
      <alignment horizontal="center" wrapText="1" readingOrder="1"/>
    </xf>
    <xf numFmtId="40" fontId="10" fillId="0" borderId="0" xfId="0" applyNumberFormat="1" applyFont="1" applyAlignment="1">
      <alignment horizontal="center" wrapText="1"/>
    </xf>
    <xf numFmtId="40" fontId="11" fillId="0" borderId="22" xfId="0" applyNumberFormat="1" applyFont="1" applyBorder="1" applyAlignment="1">
      <alignment horizontal="center" wrapText="1" readingOrder="1"/>
    </xf>
    <xf numFmtId="40" fontId="10" fillId="0" borderId="20" xfId="0" applyNumberFormat="1" applyFont="1" applyBorder="1" applyAlignment="1">
      <alignment wrapText="1"/>
    </xf>
    <xf numFmtId="40" fontId="10" fillId="0" borderId="20" xfId="0" applyNumberFormat="1" applyFont="1" applyBorder="1" applyAlignment="1">
      <alignment horizontal="center" wrapText="1" readingOrder="1"/>
    </xf>
    <xf numFmtId="40" fontId="11" fillId="0" borderId="0" xfId="0" applyNumberFormat="1" applyFont="1" applyAlignment="1">
      <alignment wrapText="1"/>
    </xf>
    <xf numFmtId="40" fontId="6" fillId="0" borderId="0" xfId="0" applyNumberFormat="1" applyFont="1"/>
    <xf numFmtId="40" fontId="11" fillId="0" borderId="0" xfId="0" applyNumberFormat="1" applyFont="1" applyAlignment="1">
      <alignment wrapText="1"/>
    </xf>
    <xf numFmtId="40" fontId="10" fillId="0" borderId="0" xfId="0" applyNumberFormat="1" applyFont="1" applyAlignment="1">
      <alignment horizontal="left" wrapText="1" readingOrder="1"/>
    </xf>
    <xf numFmtId="40" fontId="20" fillId="0" borderId="0" xfId="0" applyNumberFormat="1" applyFont="1" applyAlignment="1">
      <alignment horizontal="center" wrapText="1"/>
    </xf>
    <xf numFmtId="40" fontId="12" fillId="0" borderId="0" xfId="0" applyNumberFormat="1" applyFont="1" applyAlignment="1">
      <alignment horizontal="left" wrapText="1" readingOrder="1"/>
    </xf>
    <xf numFmtId="40" fontId="12" fillId="0" borderId="0" xfId="0" applyNumberFormat="1" applyFont="1" applyAlignment="1">
      <alignment wrapText="1"/>
    </xf>
    <xf numFmtId="40" fontId="20" fillId="0" borderId="0" xfId="2" applyNumberFormat="1" applyFont="1" applyAlignment="1">
      <alignment wrapText="1"/>
    </xf>
    <xf numFmtId="40" fontId="20" fillId="0" borderId="0" xfId="0" applyNumberFormat="1" applyFont="1" applyAlignment="1">
      <alignment horizontal="left" wrapText="1" readingOrder="1"/>
    </xf>
    <xf numFmtId="40" fontId="20" fillId="0" borderId="0" xfId="0" applyNumberFormat="1" applyFont="1" applyAlignment="1">
      <alignment horizontal="left" wrapText="1" indent="2" readingOrder="1"/>
    </xf>
    <xf numFmtId="40" fontId="12" fillId="0" borderId="0" xfId="2" applyNumberFormat="1" applyFont="1" applyAlignment="1">
      <alignment wrapText="1"/>
    </xf>
    <xf numFmtId="40" fontId="9" fillId="0" borderId="0" xfId="0" applyNumberFormat="1" applyFont="1" applyAlignment="1">
      <alignment horizontal="left" indent="2"/>
    </xf>
    <xf numFmtId="40" fontId="20" fillId="0" borderId="0" xfId="0" applyNumberFormat="1" applyFont="1" applyAlignment="1">
      <alignment horizontal="left" wrapText="1" indent="2"/>
    </xf>
    <xf numFmtId="40" fontId="9" fillId="0" borderId="0" xfId="0" applyNumberFormat="1" applyFont="1" applyAlignment="1">
      <alignment horizontal="right"/>
    </xf>
    <xf numFmtId="40" fontId="20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22" xfId="0" applyNumberFormat="1" applyFont="1" applyBorder="1" applyAlignment="1">
      <alignment horizontal="center" wrapText="1"/>
    </xf>
    <xf numFmtId="0" fontId="20" fillId="0" borderId="0" xfId="0" applyNumberFormat="1" applyFont="1" applyAlignment="1">
      <alignment horizontal="center" wrapText="1"/>
    </xf>
    <xf numFmtId="4" fontId="0" fillId="0" borderId="0" xfId="0" applyNumberFormat="1"/>
    <xf numFmtId="38" fontId="0" fillId="0" borderId="0" xfId="0" applyNumberFormat="1"/>
    <xf numFmtId="0" fontId="14" fillId="0" borderId="0" xfId="0" applyFont="1" applyAlignment="1">
      <alignment horizontal="left" wrapText="1" indent="1"/>
    </xf>
    <xf numFmtId="1" fontId="7" fillId="0" borderId="0" xfId="0" applyNumberFormat="1" applyFont="1"/>
    <xf numFmtId="1" fontId="7" fillId="0" borderId="1" xfId="0" applyNumberFormat="1" applyFont="1" applyBorder="1" applyAlignment="1">
      <alignment horizontal="center"/>
    </xf>
    <xf numFmtId="1" fontId="0" fillId="0" borderId="0" xfId="0" applyNumberFormat="1"/>
    <xf numFmtId="38" fontId="9" fillId="0" borderId="0" xfId="0" applyNumberFormat="1" applyFont="1" applyAlignment="1"/>
    <xf numFmtId="38" fontId="20" fillId="0" borderId="20" xfId="0" applyNumberFormat="1" applyFont="1" applyBorder="1" applyAlignment="1">
      <alignment wrapText="1"/>
    </xf>
    <xf numFmtId="38" fontId="20" fillId="0" borderId="0" xfId="0" applyNumberFormat="1" applyFont="1" applyAlignment="1">
      <alignment wrapText="1"/>
    </xf>
    <xf numFmtId="38" fontId="9" fillId="0" borderId="0" xfId="0" applyNumberFormat="1" applyFont="1" applyAlignment="1">
      <alignment horizontal="right"/>
    </xf>
    <xf numFmtId="38" fontId="9" fillId="0" borderId="0" xfId="2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3" fontId="14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1" fontId="18" fillId="0" borderId="0" xfId="0" applyNumberFormat="1" applyFont="1" applyBorder="1" applyAlignment="1">
      <alignment horizontal="right" vertical="top" wrapText="1"/>
    </xf>
    <xf numFmtId="41" fontId="18" fillId="2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wrapText="1"/>
    </xf>
    <xf numFmtId="167" fontId="5" fillId="0" borderId="0" xfId="1" applyNumberFormat="1" applyFont="1" applyAlignment="1">
      <alignment horizontal="right" wrapText="1"/>
    </xf>
    <xf numFmtId="167" fontId="6" fillId="0" borderId="24" xfId="1" applyNumberFormat="1" applyFont="1" applyBorder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0" fontId="6" fillId="0" borderId="23" xfId="0" applyFont="1" applyBorder="1" applyAlignment="1">
      <alignment horizontal="center" wrapText="1"/>
    </xf>
    <xf numFmtId="168" fontId="0" fillId="0" borderId="0" xfId="0" applyNumberFormat="1" applyAlignment="1">
      <alignment wrapText="1"/>
    </xf>
    <xf numFmtId="167" fontId="6" fillId="0" borderId="6" xfId="1" applyNumberFormat="1" applyFont="1" applyBorder="1" applyAlignment="1">
      <alignment horizontal="right" wrapText="1"/>
    </xf>
    <xf numFmtId="167" fontId="0" fillId="0" borderId="0" xfId="0" applyNumberFormat="1"/>
    <xf numFmtId="38" fontId="11" fillId="0" borderId="5" xfId="2" applyNumberFormat="1" applyFont="1" applyBorder="1" applyAlignment="1">
      <alignment horizontal="right" wrapText="1"/>
    </xf>
    <xf numFmtId="38" fontId="11" fillId="0" borderId="0" xfId="0" applyNumberFormat="1" applyFont="1" applyAlignment="1">
      <alignment horizontal="right" wrapText="1"/>
    </xf>
    <xf numFmtId="38" fontId="11" fillId="0" borderId="5" xfId="0" applyNumberFormat="1" applyFont="1" applyBorder="1" applyAlignment="1">
      <alignment horizontal="right" wrapText="1"/>
    </xf>
    <xf numFmtId="38" fontId="10" fillId="0" borderId="0" xfId="0" applyNumberFormat="1" applyFont="1" applyAlignment="1">
      <alignment horizontal="right" wrapText="1"/>
    </xf>
    <xf numFmtId="38" fontId="10" fillId="0" borderId="0" xfId="2" applyNumberFormat="1" applyFont="1" applyAlignment="1">
      <alignment horizontal="right" wrapText="1"/>
    </xf>
    <xf numFmtId="38" fontId="11" fillId="0" borderId="4" xfId="2" applyNumberFormat="1" applyFont="1" applyBorder="1" applyAlignment="1">
      <alignment horizontal="right" wrapText="1"/>
    </xf>
    <xf numFmtId="38" fontId="11" fillId="0" borderId="0" xfId="2" applyNumberFormat="1" applyFont="1" applyAlignment="1">
      <alignment horizontal="right" wrapText="1"/>
    </xf>
    <xf numFmtId="38" fontId="10" fillId="0" borderId="22" xfId="2" applyNumberFormat="1" applyFont="1" applyBorder="1" applyAlignment="1">
      <alignment horizontal="right" wrapText="1"/>
    </xf>
    <xf numFmtId="38" fontId="11" fillId="0" borderId="21" xfId="2" applyNumberFormat="1" applyFont="1" applyBorder="1" applyAlignment="1">
      <alignment horizontal="right" wrapText="1"/>
    </xf>
    <xf numFmtId="167" fontId="5" fillId="0" borderId="7" xfId="1" applyNumberFormat="1" applyFont="1" applyBorder="1"/>
    <xf numFmtId="0" fontId="0" fillId="0" borderId="8" xfId="0" applyBorder="1"/>
    <xf numFmtId="167" fontId="5" fillId="0" borderId="9" xfId="1" applyNumberFormat="1" applyFont="1" applyBorder="1"/>
    <xf numFmtId="0" fontId="6" fillId="0" borderId="10" xfId="0" applyFont="1" applyBorder="1"/>
    <xf numFmtId="167" fontId="6" fillId="0" borderId="11" xfId="1" applyNumberFormat="1" applyFont="1" applyBorder="1"/>
    <xf numFmtId="167" fontId="6" fillId="0" borderId="12" xfId="1" applyNumberFormat="1" applyFont="1" applyBorder="1"/>
    <xf numFmtId="0" fontId="0" fillId="0" borderId="13" xfId="0" applyBorder="1"/>
    <xf numFmtId="167" fontId="5" fillId="0" borderId="14" xfId="1" applyNumberFormat="1" applyFont="1" applyBorder="1"/>
    <xf numFmtId="167" fontId="5" fillId="0" borderId="15" xfId="1" applyNumberFormat="1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3" fillId="0" borderId="0" xfId="0" applyFont="1" applyAlignment="1">
      <alignment horizontal="left" indent="3"/>
    </xf>
    <xf numFmtId="0" fontId="7" fillId="0" borderId="0" xfId="0" applyFont="1" applyAlignment="1"/>
    <xf numFmtId="41" fontId="17" fillId="2" borderId="1" xfId="0" applyNumberFormat="1" applyFont="1" applyFill="1" applyBorder="1" applyAlignment="1">
      <alignment horizontal="right" vertical="top" wrapText="1"/>
    </xf>
    <xf numFmtId="41" fontId="18" fillId="3" borderId="1" xfId="0" applyNumberFormat="1" applyFont="1" applyFill="1" applyBorder="1" applyAlignment="1">
      <alignment horizontal="right" vertical="top" wrapText="1"/>
    </xf>
    <xf numFmtId="41" fontId="18" fillId="3" borderId="0" xfId="0" applyNumberFormat="1" applyFont="1" applyFill="1" applyAlignment="1">
      <alignment horizontal="right" vertical="top" wrapText="1"/>
    </xf>
    <xf numFmtId="40" fontId="11" fillId="0" borderId="0" xfId="0" applyNumberFormat="1" applyFont="1" applyAlignment="1">
      <alignment horizontal="left" wrapText="1" readingOrder="1"/>
    </xf>
    <xf numFmtId="0" fontId="7" fillId="0" borderId="0" xfId="0" applyFont="1"/>
    <xf numFmtId="168" fontId="0" fillId="0" borderId="0" xfId="0" applyNumberFormat="1"/>
    <xf numFmtId="165" fontId="9" fillId="0" borderId="0" xfId="1" applyFont="1"/>
    <xf numFmtId="165" fontId="5" fillId="0" borderId="0" xfId="1" applyFont="1"/>
    <xf numFmtId="167" fontId="9" fillId="0" borderId="0" xfId="1" applyNumberFormat="1" applyFont="1"/>
    <xf numFmtId="0" fontId="7" fillId="0" borderId="0" xfId="0" applyFont="1" applyAlignment="1">
      <alignment horizontal="left" indent="3"/>
    </xf>
    <xf numFmtId="167" fontId="5" fillId="0" borderId="0" xfId="1" applyNumberFormat="1" applyFont="1"/>
    <xf numFmtId="167" fontId="7" fillId="0" borderId="2" xfId="1" applyNumberFormat="1" applyFont="1" applyBorder="1"/>
    <xf numFmtId="167" fontId="7" fillId="0" borderId="3" xfId="1" applyNumberFormat="1" applyFont="1" applyBorder="1"/>
    <xf numFmtId="167" fontId="12" fillId="0" borderId="5" xfId="1" applyNumberFormat="1" applyFont="1" applyBorder="1" applyAlignment="1">
      <alignment wrapText="1"/>
    </xf>
    <xf numFmtId="167" fontId="20" fillId="0" borderId="0" xfId="1" applyNumberFormat="1" applyFont="1" applyAlignment="1">
      <alignment horizontal="right" wrapText="1"/>
    </xf>
    <xf numFmtId="167" fontId="20" fillId="0" borderId="0" xfId="1" applyNumberFormat="1" applyFont="1" applyAlignment="1">
      <alignment wrapText="1"/>
    </xf>
    <xf numFmtId="167" fontId="12" fillId="0" borderId="21" xfId="1" applyNumberFormat="1" applyFont="1" applyBorder="1" applyAlignment="1">
      <alignment wrapText="1"/>
    </xf>
    <xf numFmtId="167" fontId="12" fillId="0" borderId="21" xfId="1" applyNumberFormat="1" applyFont="1" applyBorder="1" applyAlignment="1">
      <alignment horizontal="right" wrapText="1"/>
    </xf>
    <xf numFmtId="167" fontId="20" fillId="0" borderId="20" xfId="1" applyNumberFormat="1" applyFont="1" applyBorder="1" applyAlignment="1">
      <alignment wrapText="1"/>
    </xf>
    <xf numFmtId="167" fontId="12" fillId="0" borderId="20" xfId="1" applyNumberFormat="1" applyFont="1" applyBorder="1" applyAlignment="1">
      <alignment wrapText="1"/>
    </xf>
    <xf numFmtId="167" fontId="12" fillId="0" borderId="0" xfId="1" applyNumberFormat="1" applyFont="1" applyBorder="1" applyAlignment="1">
      <alignment wrapText="1"/>
    </xf>
    <xf numFmtId="167" fontId="12" fillId="0" borderId="4" xfId="1" applyNumberFormat="1" applyFont="1" applyBorder="1" applyAlignment="1">
      <alignment wrapText="1"/>
    </xf>
    <xf numFmtId="167" fontId="9" fillId="0" borderId="0" xfId="1" applyNumberFormat="1" applyFont="1" applyAlignment="1"/>
    <xf numFmtId="167" fontId="9" fillId="0" borderId="0" xfId="1" applyNumberFormat="1" applyFont="1" applyAlignment="1">
      <alignment horizontal="right"/>
    </xf>
    <xf numFmtId="167" fontId="7" fillId="0" borderId="4" xfId="1" applyNumberFormat="1" applyFont="1" applyBorder="1" applyAlignment="1"/>
    <xf numFmtId="167" fontId="7" fillId="0" borderId="19" xfId="1" applyNumberFormat="1" applyFont="1" applyBorder="1" applyAlignment="1"/>
    <xf numFmtId="167" fontId="7" fillId="0" borderId="0" xfId="1" applyNumberFormat="1" applyFont="1" applyAlignment="1">
      <alignment horizontal="right"/>
    </xf>
    <xf numFmtId="0" fontId="7" fillId="0" borderId="0" xfId="0" applyFont="1"/>
    <xf numFmtId="165" fontId="5" fillId="0" borderId="0" xfId="1" applyFont="1"/>
    <xf numFmtId="0" fontId="9" fillId="0" borderId="0" xfId="0" applyFont="1" applyAlignment="1">
      <alignment horizontal="left" indent="2"/>
    </xf>
    <xf numFmtId="40" fontId="9" fillId="0" borderId="0" xfId="0" applyNumberFormat="1" applyFont="1" applyAlignment="1"/>
    <xf numFmtId="0" fontId="7" fillId="0" borderId="0" xfId="0" applyFont="1"/>
    <xf numFmtId="0" fontId="7" fillId="0" borderId="0" xfId="0" applyFont="1" applyAlignment="1">
      <alignment horizontal="center" wrapText="1"/>
    </xf>
    <xf numFmtId="167" fontId="7" fillId="0" borderId="0" xfId="1" applyNumberFormat="1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40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</cellXfs>
  <cellStyles count="3">
    <cellStyle name="Normal" xfId="0" builtinId="0"/>
    <cellStyle name="Separador de milhares" xfId="1" builtinId="3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38100</xdr:rowOff>
    </xdr:from>
    <xdr:to>
      <xdr:col>5</xdr:col>
      <xdr:colOff>1371600</xdr:colOff>
      <xdr:row>27</xdr:row>
      <xdr:rowOff>38100</xdr:rowOff>
    </xdr:to>
    <xdr:grpSp>
      <xdr:nvGrpSpPr>
        <xdr:cNvPr id="1089" name="Group 4"/>
        <xdr:cNvGrpSpPr>
          <a:grpSpLocks/>
        </xdr:cNvGrpSpPr>
      </xdr:nvGrpSpPr>
      <xdr:grpSpPr bwMode="auto">
        <a:xfrm>
          <a:off x="123825" y="4686300"/>
          <a:ext cx="5867400" cy="571500"/>
          <a:chOff x="42" y="704"/>
          <a:chExt cx="456" cy="62"/>
        </a:xfrm>
      </xdr:grpSpPr>
      <xdr:sp macro="" textlink="">
        <xdr:nvSpPr>
          <xdr:cNvPr id="1090" name="Text Box 5"/>
          <xdr:cNvSpPr txBox="1">
            <a:spLocks noChangeArrowheads="1"/>
          </xdr:cNvSpPr>
        </xdr:nvSpPr>
        <xdr:spPr bwMode="auto">
          <a:xfrm>
            <a:off x="42" y="704"/>
            <a:ext cx="225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91" name="Text Box 6"/>
          <xdr:cNvSpPr txBox="1">
            <a:spLocks noChangeArrowheads="1"/>
          </xdr:cNvSpPr>
        </xdr:nvSpPr>
        <xdr:spPr bwMode="auto">
          <a:xfrm>
            <a:off x="297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133350</xdr:rowOff>
    </xdr:from>
    <xdr:to>
      <xdr:col>6</xdr:col>
      <xdr:colOff>57150</xdr:colOff>
      <xdr:row>31</xdr:row>
      <xdr:rowOff>133350</xdr:rowOff>
    </xdr:to>
    <xdr:grpSp>
      <xdr:nvGrpSpPr>
        <xdr:cNvPr id="7233" name="Group 4"/>
        <xdr:cNvGrpSpPr>
          <a:grpSpLocks/>
        </xdr:cNvGrpSpPr>
      </xdr:nvGrpSpPr>
      <xdr:grpSpPr bwMode="auto">
        <a:xfrm>
          <a:off x="133350" y="5753100"/>
          <a:ext cx="6210300" cy="571500"/>
          <a:chOff x="42" y="704"/>
          <a:chExt cx="456" cy="62"/>
        </a:xfrm>
      </xdr:grpSpPr>
      <xdr:sp macro="" textlink="">
        <xdr:nvSpPr>
          <xdr:cNvPr id="7234" name="Text Box 5"/>
          <xdr:cNvSpPr txBox="1">
            <a:spLocks noChangeArrowheads="1"/>
          </xdr:cNvSpPr>
        </xdr:nvSpPr>
        <xdr:spPr bwMode="auto">
          <a:xfrm>
            <a:off x="42" y="704"/>
            <a:ext cx="225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235" name="Text Box 6"/>
          <xdr:cNvSpPr txBox="1">
            <a:spLocks noChangeArrowheads="1"/>
          </xdr:cNvSpPr>
        </xdr:nvSpPr>
        <xdr:spPr bwMode="auto">
          <a:xfrm>
            <a:off x="297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76200</xdr:rowOff>
    </xdr:from>
    <xdr:to>
      <xdr:col>5</xdr:col>
      <xdr:colOff>1219200</xdr:colOff>
      <xdr:row>44</xdr:row>
      <xdr:rowOff>76200</xdr:rowOff>
    </xdr:to>
    <xdr:grpSp>
      <xdr:nvGrpSpPr>
        <xdr:cNvPr id="8262" name="Group 4"/>
        <xdr:cNvGrpSpPr>
          <a:grpSpLocks/>
        </xdr:cNvGrpSpPr>
      </xdr:nvGrpSpPr>
      <xdr:grpSpPr bwMode="auto">
        <a:xfrm>
          <a:off x="133350" y="7867650"/>
          <a:ext cx="6334125" cy="571500"/>
          <a:chOff x="42" y="704"/>
          <a:chExt cx="456" cy="62"/>
        </a:xfrm>
      </xdr:grpSpPr>
      <xdr:sp macro="" textlink="">
        <xdr:nvSpPr>
          <xdr:cNvPr id="8263" name="Text Box 5"/>
          <xdr:cNvSpPr txBox="1">
            <a:spLocks noChangeArrowheads="1"/>
          </xdr:cNvSpPr>
        </xdr:nvSpPr>
        <xdr:spPr bwMode="auto">
          <a:xfrm>
            <a:off x="42" y="704"/>
            <a:ext cx="225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264" name="Text Box 6"/>
          <xdr:cNvSpPr txBox="1">
            <a:spLocks noChangeArrowheads="1"/>
          </xdr:cNvSpPr>
        </xdr:nvSpPr>
        <xdr:spPr bwMode="auto">
          <a:xfrm>
            <a:off x="297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123825</xdr:rowOff>
    </xdr:from>
    <xdr:to>
      <xdr:col>5</xdr:col>
      <xdr:colOff>619125</xdr:colOff>
      <xdr:row>2</xdr:row>
      <xdr:rowOff>142875</xdr:rowOff>
    </xdr:to>
    <xdr:pic>
      <xdr:nvPicPr>
        <xdr:cNvPr id="2295" name="Picture 1" descr="Cópia de marca nova pequ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23825"/>
          <a:ext cx="388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24</xdr:row>
      <xdr:rowOff>9525</xdr:rowOff>
    </xdr:from>
    <xdr:to>
      <xdr:col>7</xdr:col>
      <xdr:colOff>990600</xdr:colOff>
      <xdr:row>27</xdr:row>
      <xdr:rowOff>38100</xdr:rowOff>
    </xdr:to>
    <xdr:grpSp>
      <xdr:nvGrpSpPr>
        <xdr:cNvPr id="2296" name="Group 4"/>
        <xdr:cNvGrpSpPr>
          <a:grpSpLocks/>
        </xdr:cNvGrpSpPr>
      </xdr:nvGrpSpPr>
      <xdr:grpSpPr bwMode="auto">
        <a:xfrm>
          <a:off x="38100" y="5229225"/>
          <a:ext cx="7391400" cy="600075"/>
          <a:chOff x="42" y="704"/>
          <a:chExt cx="577" cy="62"/>
        </a:xfrm>
      </xdr:grpSpPr>
      <xdr:sp macro="" textlink="">
        <xdr:nvSpPr>
          <xdr:cNvPr id="2297" name="Text Box 5"/>
          <xdr:cNvSpPr txBox="1">
            <a:spLocks noChangeArrowheads="1"/>
          </xdr:cNvSpPr>
        </xdr:nvSpPr>
        <xdr:spPr bwMode="auto">
          <a:xfrm>
            <a:off x="42" y="704"/>
            <a:ext cx="328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298" name="Text Box 6"/>
          <xdr:cNvSpPr txBox="1">
            <a:spLocks noChangeArrowheads="1"/>
          </xdr:cNvSpPr>
        </xdr:nvSpPr>
        <xdr:spPr bwMode="auto">
          <a:xfrm>
            <a:off x="418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123825</xdr:rowOff>
    </xdr:from>
    <xdr:to>
      <xdr:col>5</xdr:col>
      <xdr:colOff>619125</xdr:colOff>
      <xdr:row>2</xdr:row>
      <xdr:rowOff>142875</xdr:rowOff>
    </xdr:to>
    <xdr:pic>
      <xdr:nvPicPr>
        <xdr:cNvPr id="3320" name="Picture 1" descr="Cópia de marca nova pequ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23825"/>
          <a:ext cx="4171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55</xdr:row>
      <xdr:rowOff>9525</xdr:rowOff>
    </xdr:from>
    <xdr:to>
      <xdr:col>7</xdr:col>
      <xdr:colOff>0</xdr:colOff>
      <xdr:row>58</xdr:row>
      <xdr:rowOff>38100</xdr:rowOff>
    </xdr:to>
    <xdr:grpSp>
      <xdr:nvGrpSpPr>
        <xdr:cNvPr id="3321" name="Group 4"/>
        <xdr:cNvGrpSpPr>
          <a:grpSpLocks/>
        </xdr:cNvGrpSpPr>
      </xdr:nvGrpSpPr>
      <xdr:grpSpPr bwMode="auto">
        <a:xfrm>
          <a:off x="38100" y="10772775"/>
          <a:ext cx="6657975" cy="571500"/>
          <a:chOff x="42" y="704"/>
          <a:chExt cx="577" cy="62"/>
        </a:xfrm>
      </xdr:grpSpPr>
      <xdr:sp macro="" textlink="">
        <xdr:nvSpPr>
          <xdr:cNvPr id="3322" name="Text Box 5"/>
          <xdr:cNvSpPr txBox="1">
            <a:spLocks noChangeArrowheads="1"/>
          </xdr:cNvSpPr>
        </xdr:nvSpPr>
        <xdr:spPr bwMode="auto">
          <a:xfrm>
            <a:off x="42" y="704"/>
            <a:ext cx="328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323" name="Text Box 6"/>
          <xdr:cNvSpPr txBox="1">
            <a:spLocks noChangeArrowheads="1"/>
          </xdr:cNvSpPr>
        </xdr:nvSpPr>
        <xdr:spPr bwMode="auto">
          <a:xfrm>
            <a:off x="418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123825</xdr:rowOff>
    </xdr:from>
    <xdr:to>
      <xdr:col>5</xdr:col>
      <xdr:colOff>619125</xdr:colOff>
      <xdr:row>2</xdr:row>
      <xdr:rowOff>142875</xdr:rowOff>
    </xdr:to>
    <xdr:pic>
      <xdr:nvPicPr>
        <xdr:cNvPr id="4341" name="Picture 1" descr="Cópia de marca nova pequ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23825"/>
          <a:ext cx="3114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24</xdr:row>
      <xdr:rowOff>9525</xdr:rowOff>
    </xdr:from>
    <xdr:to>
      <xdr:col>7</xdr:col>
      <xdr:colOff>990600</xdr:colOff>
      <xdr:row>27</xdr:row>
      <xdr:rowOff>38100</xdr:rowOff>
    </xdr:to>
    <xdr:grpSp>
      <xdr:nvGrpSpPr>
        <xdr:cNvPr id="4342" name="Group 4"/>
        <xdr:cNvGrpSpPr>
          <a:grpSpLocks/>
        </xdr:cNvGrpSpPr>
      </xdr:nvGrpSpPr>
      <xdr:grpSpPr bwMode="auto">
        <a:xfrm>
          <a:off x="38100" y="5229225"/>
          <a:ext cx="6819900" cy="600075"/>
          <a:chOff x="42" y="704"/>
          <a:chExt cx="577" cy="62"/>
        </a:xfrm>
      </xdr:grpSpPr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2" y="704"/>
            <a:ext cx="328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Denilson Monteiro Costa</a:t>
            </a:r>
          </a:p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CRC BA 018.851/O-1</a:t>
            </a:r>
          </a:p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Gerente de Contabilidade e Prestação de Contas</a:t>
            </a:r>
          </a:p>
        </xdr:txBody>
      </xdr:sp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418" y="704"/>
            <a:ext cx="20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Lília Kátia Andrade Nunes</a:t>
            </a:r>
          </a:p>
          <a:p>
            <a:pPr algn="ctr" rtl="0">
              <a:defRPr sz="1000"/>
            </a:pPr>
            <a:r>
              <a:rPr lang="pt-B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Superintendente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topLeftCell="A4" workbookViewId="0">
      <selection activeCell="I27" sqref="I27"/>
    </sheetView>
  </sheetViews>
  <sheetFormatPr defaultRowHeight="15"/>
  <cols>
    <col min="1" max="1" width="2.140625" customWidth="1"/>
    <col min="2" max="2" width="42.5703125" customWidth="1"/>
    <col min="3" max="3" width="2.140625" customWidth="1"/>
    <col min="4" max="4" width="20.28515625" customWidth="1"/>
    <col min="5" max="5" width="2.140625" customWidth="1"/>
    <col min="6" max="6" width="20.85546875" customWidth="1"/>
    <col min="7" max="7" width="2" customWidth="1"/>
    <col min="8" max="8" width="12.7109375" bestFit="1" customWidth="1"/>
  </cols>
  <sheetData>
    <row r="1" spans="2:8">
      <c r="B1" s="199" t="s">
        <v>0</v>
      </c>
      <c r="C1" s="199"/>
      <c r="D1" s="199"/>
      <c r="E1" s="199"/>
      <c r="F1" s="199"/>
      <c r="G1" s="199"/>
    </row>
    <row r="2" spans="2:8">
      <c r="B2" s="199" t="s">
        <v>185</v>
      </c>
      <c r="C2" s="199"/>
      <c r="D2" s="199"/>
      <c r="E2" s="199"/>
      <c r="F2" s="199"/>
      <c r="G2" s="199"/>
    </row>
    <row r="3" spans="2:8" ht="15.75" thickBot="1">
      <c r="B3" s="200" t="s">
        <v>1</v>
      </c>
      <c r="C3" s="200"/>
      <c r="D3" s="200"/>
      <c r="E3" s="200"/>
      <c r="F3" s="200"/>
      <c r="G3" s="200"/>
    </row>
    <row r="5" spans="2:8" ht="15.75" thickBot="1">
      <c r="B5" s="2" t="s">
        <v>2</v>
      </c>
      <c r="D5" s="3">
        <v>2015</v>
      </c>
      <c r="F5" s="3">
        <v>2014</v>
      </c>
    </row>
    <row r="7" spans="2:8">
      <c r="B7" s="1" t="s">
        <v>3</v>
      </c>
    </row>
    <row r="8" spans="2:8">
      <c r="B8" s="4" t="s">
        <v>4</v>
      </c>
      <c r="D8" s="5">
        <v>25163443</v>
      </c>
      <c r="F8" s="5">
        <v>31184984</v>
      </c>
      <c r="H8" s="44"/>
    </row>
    <row r="9" spans="2:8">
      <c r="B9" s="4" t="s">
        <v>5</v>
      </c>
      <c r="D9" s="5">
        <v>43220453</v>
      </c>
      <c r="F9" s="5">
        <v>59535655</v>
      </c>
      <c r="H9" s="44"/>
    </row>
    <row r="10" spans="2:8">
      <c r="B10" s="4" t="s">
        <v>6</v>
      </c>
      <c r="D10" s="5">
        <v>48679574</v>
      </c>
      <c r="F10" s="5">
        <v>34386206</v>
      </c>
    </row>
    <row r="11" spans="2:8">
      <c r="B11" s="4" t="s">
        <v>7</v>
      </c>
      <c r="D11" s="5">
        <v>853.6</v>
      </c>
      <c r="F11" s="5">
        <v>0</v>
      </c>
    </row>
    <row r="12" spans="2:8">
      <c r="B12" s="4" t="s">
        <v>8</v>
      </c>
      <c r="D12" s="5">
        <v>789273</v>
      </c>
      <c r="F12" s="5">
        <v>926694.05</v>
      </c>
      <c r="H12" s="113"/>
    </row>
    <row r="13" spans="2:8" ht="15.75" thickBot="1">
      <c r="B13" s="4" t="s">
        <v>9</v>
      </c>
      <c r="D13" s="5">
        <v>0</v>
      </c>
      <c r="F13" s="5">
        <v>36200.32</v>
      </c>
    </row>
    <row r="14" spans="2:8" ht="15.75" thickBot="1">
      <c r="B14" s="1" t="s">
        <v>10</v>
      </c>
      <c r="D14" s="6">
        <f>SUM(D8:D13)</f>
        <v>117853596.59999999</v>
      </c>
      <c r="F14" s="6">
        <f>SUM(F8:F13)</f>
        <v>126069739.36999999</v>
      </c>
    </row>
    <row r="15" spans="2:8">
      <c r="D15" s="44"/>
      <c r="F15" s="44"/>
    </row>
    <row r="16" spans="2:8">
      <c r="B16" s="1" t="s">
        <v>11</v>
      </c>
      <c r="D16" s="44"/>
      <c r="F16" s="44"/>
    </row>
    <row r="17" spans="2:6">
      <c r="B17" s="4" t="s">
        <v>180</v>
      </c>
      <c r="D17" s="5">
        <v>4708168</v>
      </c>
      <c r="F17" s="5">
        <v>4822729</v>
      </c>
    </row>
    <row r="18" spans="2:6">
      <c r="B18" s="4" t="s">
        <v>12</v>
      </c>
      <c r="D18" s="5">
        <v>2682500</v>
      </c>
      <c r="F18" s="5">
        <v>2682500</v>
      </c>
    </row>
    <row r="19" spans="2:6" ht="15.75" thickBot="1">
      <c r="B19" s="4" t="s">
        <v>13</v>
      </c>
      <c r="D19" s="5">
        <v>421385</v>
      </c>
      <c r="F19" s="5">
        <v>553925</v>
      </c>
    </row>
    <row r="20" spans="2:6" ht="15.75" thickBot="1">
      <c r="B20" s="1" t="s">
        <v>14</v>
      </c>
      <c r="D20" s="6">
        <f>SUM(D17:D19)</f>
        <v>7812053</v>
      </c>
      <c r="F20" s="6">
        <f>SUM(F17:F19)</f>
        <v>8059154</v>
      </c>
    </row>
    <row r="21" spans="2:6">
      <c r="D21" s="44"/>
      <c r="F21" s="44"/>
    </row>
    <row r="22" spans="2:6" ht="15.75" thickBot="1">
      <c r="B22" s="1" t="s">
        <v>15</v>
      </c>
      <c r="D22" s="8">
        <f>SUM(D20,D14)</f>
        <v>125665649.59999999</v>
      </c>
      <c r="F22" s="8">
        <f>SUM(F20,F14)</f>
        <v>134128893.36999999</v>
      </c>
    </row>
    <row r="23" spans="2:6" ht="15.75" thickTop="1">
      <c r="F23" s="114"/>
    </row>
  </sheetData>
  <mergeCells count="3">
    <mergeCell ref="B1:G1"/>
    <mergeCell ref="B2:G2"/>
    <mergeCell ref="B3:G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opLeftCell="C1" workbookViewId="0">
      <selection activeCell="C19" sqref="C19"/>
    </sheetView>
  </sheetViews>
  <sheetFormatPr defaultRowHeight="15"/>
  <cols>
    <col min="1" max="1" width="33" customWidth="1"/>
    <col min="2" max="2" width="2.85546875" customWidth="1"/>
    <col min="3" max="3" width="13.7109375" customWidth="1"/>
    <col min="4" max="4" width="2.7109375" customWidth="1"/>
    <col min="5" max="5" width="13.7109375" customWidth="1"/>
    <col min="6" max="6" width="2.7109375" customWidth="1"/>
    <col min="7" max="7" width="13.85546875" customWidth="1"/>
    <col min="8" max="8" width="3.5703125" customWidth="1"/>
    <col min="9" max="9" width="14.7109375" customWidth="1"/>
    <col min="10" max="10" width="3.42578125" customWidth="1"/>
    <col min="11" max="11" width="12.5703125" customWidth="1"/>
    <col min="12" max="12" width="3" customWidth="1"/>
    <col min="13" max="13" width="10.85546875" customWidth="1"/>
    <col min="14" max="14" width="3.28515625" customWidth="1"/>
    <col min="15" max="15" width="14.140625" customWidth="1"/>
    <col min="16" max="16" width="3" customWidth="1"/>
    <col min="17" max="17" width="13.7109375" customWidth="1"/>
    <col min="18" max="18" width="3.140625" customWidth="1"/>
    <col min="19" max="19" width="14.42578125" customWidth="1"/>
    <col min="20" max="20" width="3.28515625" customWidth="1"/>
    <col min="21" max="21" width="13.7109375" customWidth="1"/>
  </cols>
  <sheetData>
    <row r="1" spans="1:21" ht="18.75">
      <c r="C1" s="204" t="s">
        <v>176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3" spans="1:21" ht="45.75" thickBot="1">
      <c r="A3" s="55"/>
      <c r="B3" s="55"/>
      <c r="C3" s="56" t="s">
        <v>172</v>
      </c>
      <c r="D3" s="49"/>
      <c r="E3" s="56" t="s">
        <v>100</v>
      </c>
      <c r="F3" s="49"/>
      <c r="G3" s="56" t="s">
        <v>101</v>
      </c>
      <c r="H3" s="49"/>
      <c r="I3" s="56" t="s">
        <v>102</v>
      </c>
      <c r="J3" s="49"/>
      <c r="K3" s="56" t="s">
        <v>103</v>
      </c>
      <c r="L3" s="49"/>
      <c r="M3" s="57" t="s">
        <v>104</v>
      </c>
      <c r="O3" s="56" t="s">
        <v>105</v>
      </c>
      <c r="P3" s="49"/>
      <c r="Q3" s="56" t="s">
        <v>106</v>
      </c>
      <c r="R3" s="49"/>
      <c r="S3" s="56" t="s">
        <v>107</v>
      </c>
      <c r="T3" s="49"/>
      <c r="U3" s="57" t="s">
        <v>108</v>
      </c>
    </row>
    <row r="4" spans="1:2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8"/>
      <c r="O4" s="55"/>
      <c r="P4" s="55"/>
      <c r="Q4" s="55"/>
      <c r="R4" s="55"/>
      <c r="S4" s="55"/>
      <c r="T4" s="55"/>
      <c r="U4" s="58"/>
    </row>
    <row r="5" spans="1:21" hidden="1">
      <c r="A5" s="59" t="s">
        <v>109</v>
      </c>
      <c r="B5" s="55"/>
      <c r="C5" s="60">
        <v>392995</v>
      </c>
      <c r="D5" s="61"/>
      <c r="E5" s="60">
        <v>392995</v>
      </c>
      <c r="F5" s="61"/>
      <c r="G5" s="60">
        <v>70618</v>
      </c>
      <c r="H5" s="61"/>
      <c r="I5" s="60">
        <v>39524</v>
      </c>
      <c r="J5" s="61"/>
      <c r="K5" s="60">
        <v>194902</v>
      </c>
      <c r="L5" s="61"/>
      <c r="M5" s="62">
        <f>SUM(E5,G5,I5,K5)</f>
        <v>698039</v>
      </c>
      <c r="N5" s="63"/>
      <c r="O5" s="60">
        <v>166353</v>
      </c>
      <c r="P5" s="61"/>
      <c r="Q5" s="60">
        <v>25217</v>
      </c>
      <c r="R5" s="61"/>
      <c r="S5" s="60">
        <v>971360</v>
      </c>
      <c r="T5" s="61"/>
      <c r="U5" s="62" t="e">
        <f>SUM(M5,O5,Q5,S5,#REF!)</f>
        <v>#REF!</v>
      </c>
    </row>
    <row r="6" spans="1:21" hidden="1">
      <c r="A6" s="64" t="s">
        <v>110</v>
      </c>
      <c r="B6" s="55"/>
      <c r="C6" s="65">
        <v>0</v>
      </c>
      <c r="D6" s="61"/>
      <c r="E6" s="65">
        <v>0</v>
      </c>
      <c r="F6" s="61"/>
      <c r="G6" s="65">
        <v>56447</v>
      </c>
      <c r="H6" s="61"/>
      <c r="I6" s="65" t="s">
        <v>111</v>
      </c>
      <c r="J6" s="61"/>
      <c r="K6" s="65" t="s">
        <v>111</v>
      </c>
      <c r="L6" s="61"/>
      <c r="M6" s="66">
        <f>SUM(E6,G6,I6,K6)</f>
        <v>56447</v>
      </c>
      <c r="N6" s="63"/>
      <c r="O6" s="65">
        <v>19133</v>
      </c>
      <c r="P6" s="61"/>
      <c r="Q6" s="65" t="s">
        <v>111</v>
      </c>
      <c r="R6" s="61"/>
      <c r="S6" s="65" t="s">
        <v>111</v>
      </c>
      <c r="T6" s="61"/>
      <c r="U6" s="66" t="e">
        <f>SUM(M6,O6,Q6,S6,#REF!)</f>
        <v>#REF!</v>
      </c>
    </row>
    <row r="7" spans="1:21" hidden="1">
      <c r="A7" s="64" t="s">
        <v>112</v>
      </c>
      <c r="B7" s="55"/>
      <c r="C7" s="65">
        <v>0</v>
      </c>
      <c r="D7" s="61"/>
      <c r="E7" s="65">
        <v>0</v>
      </c>
      <c r="F7" s="61"/>
      <c r="G7" s="65">
        <v>-10442</v>
      </c>
      <c r="H7" s="61"/>
      <c r="I7" s="65">
        <v>-17101</v>
      </c>
      <c r="J7" s="61"/>
      <c r="K7" s="65">
        <v>-84707</v>
      </c>
      <c r="L7" s="61"/>
      <c r="M7" s="66">
        <f>SUM(E7,G7,I7,K7)</f>
        <v>-112250</v>
      </c>
      <c r="N7" s="63"/>
      <c r="O7" s="65">
        <v>-29733</v>
      </c>
      <c r="P7" s="61"/>
      <c r="Q7" s="65" t="s">
        <v>113</v>
      </c>
      <c r="R7" s="61"/>
      <c r="S7" s="65">
        <v>37378</v>
      </c>
      <c r="T7" s="61"/>
      <c r="U7" s="66" t="e">
        <f>SUM(M7,O7,Q7,S7,#REF!)</f>
        <v>#REF!</v>
      </c>
    </row>
    <row r="8" spans="1:21" hidden="1">
      <c r="A8" s="64" t="s">
        <v>114</v>
      </c>
      <c r="B8" s="55"/>
      <c r="C8" s="65">
        <v>0</v>
      </c>
      <c r="D8" s="61"/>
      <c r="E8" s="65">
        <v>0</v>
      </c>
      <c r="F8" s="61"/>
      <c r="G8" s="65">
        <v>-55682</v>
      </c>
      <c r="H8" s="61"/>
      <c r="I8" s="65" t="s">
        <v>111</v>
      </c>
      <c r="J8" s="61"/>
      <c r="K8" s="65" t="s">
        <v>111</v>
      </c>
      <c r="L8" s="61"/>
      <c r="M8" s="66">
        <f>SUM(E8,G8,I8,K8)</f>
        <v>-55682</v>
      </c>
      <c r="N8" s="63"/>
      <c r="O8" s="65">
        <v>55682</v>
      </c>
      <c r="P8" s="61"/>
      <c r="Q8" s="65" t="s">
        <v>111</v>
      </c>
      <c r="R8" s="61"/>
      <c r="S8" s="65" t="s">
        <v>111</v>
      </c>
      <c r="T8" s="61"/>
      <c r="U8" s="66" t="e">
        <f>SUM(M8,O8,Q8,S8,#REF!)</f>
        <v>#REF!</v>
      </c>
    </row>
    <row r="9" spans="1:21" ht="15.75" hidden="1" thickBot="1">
      <c r="A9" s="64" t="s">
        <v>115</v>
      </c>
      <c r="B9" s="55"/>
      <c r="C9" s="67">
        <v>-21792</v>
      </c>
      <c r="D9" s="61"/>
      <c r="E9" s="67">
        <v>-21792</v>
      </c>
      <c r="F9" s="61"/>
      <c r="G9" s="67">
        <v>-7408</v>
      </c>
      <c r="H9" s="61"/>
      <c r="I9" s="67">
        <v>-9798</v>
      </c>
      <c r="J9" s="61"/>
      <c r="K9" s="67">
        <v>-27123</v>
      </c>
      <c r="L9" s="61"/>
      <c r="M9" s="68">
        <f>SUM(E9,G9,I9,K9)</f>
        <v>-66121</v>
      </c>
      <c r="N9" s="63"/>
      <c r="O9" s="67">
        <v>-27986</v>
      </c>
      <c r="P9" s="61"/>
      <c r="Q9" s="67">
        <v>-6578</v>
      </c>
      <c r="R9" s="61"/>
      <c r="S9" s="67">
        <v>-45171</v>
      </c>
      <c r="T9" s="61"/>
      <c r="U9" s="68" t="e">
        <f>SUM(M9,O9,Q9,S9,#REF!)</f>
        <v>#REF!</v>
      </c>
    </row>
    <row r="10" spans="1:21" ht="15.75" hidden="1" thickBot="1">
      <c r="A10" s="59" t="s">
        <v>116</v>
      </c>
      <c r="B10" s="55"/>
      <c r="C10" s="69">
        <f>C5+SUM(C6:C9)</f>
        <v>371203</v>
      </c>
      <c r="D10" s="61"/>
      <c r="E10" s="69">
        <f>E5+SUM(E6:E9)</f>
        <v>371203</v>
      </c>
      <c r="F10" s="61"/>
      <c r="G10" s="69">
        <f>G5+SUM(G6:G9)</f>
        <v>53533</v>
      </c>
      <c r="H10" s="61"/>
      <c r="I10" s="69">
        <f>I5+SUM(I6:I9)</f>
        <v>12625</v>
      </c>
      <c r="J10" s="61"/>
      <c r="K10" s="69">
        <f>K5+SUM(K6:K9)</f>
        <v>83072</v>
      </c>
      <c r="L10" s="61"/>
      <c r="M10" s="70">
        <f>M5+SUM(M6:M9)</f>
        <v>520433</v>
      </c>
      <c r="N10" s="63"/>
      <c r="O10" s="69">
        <f>O5+SUM(O6:O9)</f>
        <v>183449</v>
      </c>
      <c r="P10" s="61"/>
      <c r="Q10" s="69">
        <f>Q5+SUM(Q6:Q9)</f>
        <v>18639</v>
      </c>
      <c r="R10" s="61"/>
      <c r="S10" s="69">
        <f>S5+SUM(S6:S9)</f>
        <v>963567</v>
      </c>
      <c r="T10" s="61"/>
      <c r="U10" s="70" t="e">
        <f>SUM(M10,O10,Q10,S10,#REF!)</f>
        <v>#REF!</v>
      </c>
    </row>
    <row r="11" spans="1:21" ht="15.75" hidden="1" thickTop="1">
      <c r="A11" s="55"/>
      <c r="B11" s="55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71"/>
      <c r="N11" s="63"/>
      <c r="O11" s="61"/>
      <c r="P11" s="61"/>
      <c r="Q11" s="61"/>
      <c r="R11" s="61"/>
      <c r="S11" s="61"/>
      <c r="T11" s="61"/>
      <c r="U11" s="71"/>
    </row>
    <row r="12" spans="1:21" hidden="1">
      <c r="A12" s="64" t="s">
        <v>117</v>
      </c>
      <c r="B12" s="55"/>
      <c r="C12" s="65">
        <v>544797</v>
      </c>
      <c r="D12" s="61"/>
      <c r="E12" s="65">
        <v>544797</v>
      </c>
      <c r="F12" s="61"/>
      <c r="G12" s="65">
        <v>69977</v>
      </c>
      <c r="H12" s="61"/>
      <c r="I12" s="65">
        <v>48914</v>
      </c>
      <c r="J12" s="61"/>
      <c r="K12" s="65">
        <v>157846</v>
      </c>
      <c r="L12" s="61"/>
      <c r="M12" s="66">
        <f>SUM(E12,G12,I12,K12)</f>
        <v>821534</v>
      </c>
      <c r="N12" s="63"/>
      <c r="O12" s="65">
        <v>301272</v>
      </c>
      <c r="P12" s="61"/>
      <c r="Q12" s="65">
        <v>32892</v>
      </c>
      <c r="R12" s="61"/>
      <c r="S12" s="65">
        <v>1134568</v>
      </c>
      <c r="T12" s="61"/>
      <c r="U12" s="66" t="e">
        <f>SUM(M12,O12,Q12,S12,#REF!)</f>
        <v>#REF!</v>
      </c>
    </row>
    <row r="13" spans="1:21" ht="15.75" hidden="1" thickBot="1">
      <c r="A13" s="64" t="s">
        <v>118</v>
      </c>
      <c r="B13" s="55"/>
      <c r="C13" s="67">
        <v>-173594</v>
      </c>
      <c r="D13" s="61"/>
      <c r="E13" s="67">
        <v>-173594</v>
      </c>
      <c r="F13" s="61"/>
      <c r="G13" s="67">
        <v>-16444</v>
      </c>
      <c r="H13" s="61"/>
      <c r="I13" s="67">
        <v>-36288</v>
      </c>
      <c r="J13" s="61"/>
      <c r="K13" s="67">
        <v>-74774</v>
      </c>
      <c r="L13" s="61"/>
      <c r="M13" s="68">
        <f>SUM(E13,G13,I13,K13)</f>
        <v>-301100</v>
      </c>
      <c r="N13" s="63"/>
      <c r="O13" s="67">
        <v>-117823</v>
      </c>
      <c r="P13" s="61"/>
      <c r="Q13" s="67">
        <v>-14253</v>
      </c>
      <c r="R13" s="61"/>
      <c r="S13" s="67">
        <v>-171001</v>
      </c>
      <c r="T13" s="61"/>
      <c r="U13" s="68" t="e">
        <f>SUM(M13,O13,Q13,S13,#REF!)</f>
        <v>#REF!</v>
      </c>
    </row>
    <row r="14" spans="1:21" ht="15.75" hidden="1" thickBot="1">
      <c r="A14" s="59" t="s">
        <v>119</v>
      </c>
      <c r="B14" s="55"/>
      <c r="C14" s="69">
        <f>SUM(C12:C13)</f>
        <v>371203</v>
      </c>
      <c r="D14" s="61"/>
      <c r="E14" s="69">
        <f>SUM(E12:E13)</f>
        <v>371203</v>
      </c>
      <c r="F14" s="61"/>
      <c r="G14" s="69">
        <f>SUM(G12:G13)</f>
        <v>53533</v>
      </c>
      <c r="H14" s="61"/>
      <c r="I14" s="69">
        <f>SUM(I12:I13)</f>
        <v>12626</v>
      </c>
      <c r="J14" s="61"/>
      <c r="K14" s="69">
        <f>SUM(K12:K13)</f>
        <v>83072</v>
      </c>
      <c r="L14" s="61"/>
      <c r="M14" s="70">
        <f>SUM(M12:M13)</f>
        <v>520434</v>
      </c>
      <c r="N14" s="63"/>
      <c r="O14" s="69">
        <f>SUM(O12:O13)</f>
        <v>183449</v>
      </c>
      <c r="P14" s="61"/>
      <c r="Q14" s="69">
        <f>SUM(Q12:Q13)</f>
        <v>18639</v>
      </c>
      <c r="R14" s="61"/>
      <c r="S14" s="69">
        <f>SUM(S12:S13)</f>
        <v>963567</v>
      </c>
      <c r="T14" s="61"/>
      <c r="U14" s="70" t="e">
        <f>SUM(U12:U13)</f>
        <v>#REF!</v>
      </c>
    </row>
    <row r="15" spans="1:21" ht="15.75" hidden="1" thickTop="1">
      <c r="A15" s="55"/>
      <c r="B15" s="55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1"/>
      <c r="N15" s="63"/>
      <c r="O15" s="61"/>
      <c r="P15" s="61"/>
      <c r="Q15" s="61"/>
      <c r="R15" s="61"/>
      <c r="S15" s="61"/>
      <c r="T15" s="61"/>
      <c r="U15" s="71"/>
    </row>
    <row r="16" spans="1:21" hidden="1">
      <c r="A16" s="59" t="s">
        <v>116</v>
      </c>
      <c r="B16" s="55"/>
      <c r="C16" s="60">
        <f>C14</f>
        <v>371203</v>
      </c>
      <c r="D16" s="61"/>
      <c r="E16" s="60">
        <f>E14</f>
        <v>371203</v>
      </c>
      <c r="F16" s="61"/>
      <c r="G16" s="60">
        <f>G14</f>
        <v>53533</v>
      </c>
      <c r="H16" s="61"/>
      <c r="I16" s="60">
        <f>I14</f>
        <v>12626</v>
      </c>
      <c r="J16" s="61"/>
      <c r="K16" s="60">
        <f>K14</f>
        <v>83072</v>
      </c>
      <c r="L16" s="61"/>
      <c r="M16" s="62">
        <f>SUM(E16,G16,I16,K16)</f>
        <v>520434</v>
      </c>
      <c r="N16" s="61"/>
      <c r="O16" s="60">
        <f>O14</f>
        <v>183449</v>
      </c>
      <c r="P16" s="61"/>
      <c r="Q16" s="60">
        <f>Q14</f>
        <v>18639</v>
      </c>
      <c r="R16" s="61"/>
      <c r="S16" s="60">
        <f>S14</f>
        <v>963567</v>
      </c>
      <c r="T16" s="61"/>
      <c r="U16" s="62" t="e">
        <f>SUM(M16,O16,Q16,S16,#REF!)</f>
        <v>#REF!</v>
      </c>
    </row>
    <row r="17" spans="1:21" hidden="1">
      <c r="A17" s="64" t="s">
        <v>110</v>
      </c>
      <c r="B17" s="55"/>
      <c r="C17" s="65">
        <v>0</v>
      </c>
      <c r="D17" s="61"/>
      <c r="E17" s="65">
        <v>0</v>
      </c>
      <c r="F17" s="61"/>
      <c r="G17" s="65">
        <v>4769</v>
      </c>
      <c r="H17" s="61"/>
      <c r="I17" s="65">
        <v>61185</v>
      </c>
      <c r="J17" s="61"/>
      <c r="K17" s="65">
        <v>0</v>
      </c>
      <c r="L17" s="61"/>
      <c r="M17" s="66">
        <f>SUM(E17,G17,I17,K17)</f>
        <v>65954</v>
      </c>
      <c r="N17" s="63"/>
      <c r="O17" s="65">
        <v>2099</v>
      </c>
      <c r="P17" s="61"/>
      <c r="Q17" s="65">
        <v>0</v>
      </c>
      <c r="R17" s="61"/>
      <c r="S17" s="65">
        <v>0</v>
      </c>
      <c r="T17" s="61"/>
      <c r="U17" s="66" t="e">
        <f>SUM(M17,O17,Q17,S17,#REF!)</f>
        <v>#REF!</v>
      </c>
    </row>
    <row r="18" spans="1:21" hidden="1">
      <c r="A18" s="64" t="s">
        <v>112</v>
      </c>
      <c r="B18" s="55"/>
      <c r="C18" s="65">
        <v>0</v>
      </c>
      <c r="D18" s="61"/>
      <c r="E18" s="65">
        <v>0</v>
      </c>
      <c r="F18" s="61"/>
      <c r="G18" s="65">
        <v>0</v>
      </c>
      <c r="H18" s="61"/>
      <c r="I18" s="65">
        <v>0</v>
      </c>
      <c r="J18" s="61"/>
      <c r="K18" s="65">
        <v>0</v>
      </c>
      <c r="L18" s="61"/>
      <c r="M18" s="66">
        <f>SUM(E18,G18,I18,K18)</f>
        <v>0</v>
      </c>
      <c r="N18" s="63"/>
      <c r="O18" s="65">
        <v>0</v>
      </c>
      <c r="P18" s="61"/>
      <c r="Q18" s="65">
        <v>0</v>
      </c>
      <c r="R18" s="61"/>
      <c r="S18" s="65">
        <v>0</v>
      </c>
      <c r="T18" s="61"/>
      <c r="U18" s="66" t="e">
        <f>SUM(M18,O18,Q18,S18,#REF!)</f>
        <v>#REF!</v>
      </c>
    </row>
    <row r="19" spans="1:21" hidden="1">
      <c r="A19" s="64" t="s">
        <v>114</v>
      </c>
      <c r="B19" s="55"/>
      <c r="C19" s="65">
        <v>0</v>
      </c>
      <c r="D19" s="61"/>
      <c r="E19" s="65">
        <v>0</v>
      </c>
      <c r="F19" s="61"/>
      <c r="G19" s="65">
        <v>0</v>
      </c>
      <c r="H19" s="61"/>
      <c r="I19" s="65">
        <v>0</v>
      </c>
      <c r="J19" s="61"/>
      <c r="K19" s="65">
        <v>0</v>
      </c>
      <c r="L19" s="61"/>
      <c r="M19" s="66">
        <f>SUM(E19,G19,I19,K19)</f>
        <v>0</v>
      </c>
      <c r="N19" s="63"/>
      <c r="O19" s="65">
        <v>0</v>
      </c>
      <c r="P19" s="61"/>
      <c r="Q19" s="65">
        <v>0</v>
      </c>
      <c r="R19" s="61"/>
      <c r="S19" s="65">
        <v>0</v>
      </c>
      <c r="T19" s="61"/>
      <c r="U19" s="66" t="e">
        <f>SUM(M19,O19,Q19,S19,#REF!)</f>
        <v>#REF!</v>
      </c>
    </row>
    <row r="20" spans="1:21" ht="15.75" hidden="1" thickBot="1">
      <c r="A20" s="64" t="s">
        <v>115</v>
      </c>
      <c r="B20" s="55"/>
      <c r="C20" s="67">
        <v>-21792</v>
      </c>
      <c r="D20" s="61"/>
      <c r="E20" s="67">
        <v>-21792</v>
      </c>
      <c r="F20" s="61"/>
      <c r="G20" s="67">
        <v>-9193</v>
      </c>
      <c r="H20" s="61"/>
      <c r="I20" s="67">
        <v>-16077</v>
      </c>
      <c r="J20" s="61"/>
      <c r="K20" s="67">
        <v>-19951</v>
      </c>
      <c r="L20" s="61"/>
      <c r="M20" s="68">
        <f>SUM(E20,G20,I20,K20)</f>
        <v>-67013</v>
      </c>
      <c r="N20" s="63"/>
      <c r="O20" s="67">
        <v>-29737</v>
      </c>
      <c r="P20" s="61"/>
      <c r="Q20" s="67">
        <v>-6579</v>
      </c>
      <c r="R20" s="61"/>
      <c r="S20" s="67">
        <v>-45383</v>
      </c>
      <c r="T20" s="61"/>
      <c r="U20" s="68" t="e">
        <f>SUM(M20,O20,Q20,S20,#REF!)</f>
        <v>#REF!</v>
      </c>
    </row>
    <row r="21" spans="1:21" ht="15.75" thickBot="1">
      <c r="A21" s="59" t="s">
        <v>32</v>
      </c>
      <c r="B21" s="55"/>
      <c r="C21" s="69">
        <f>C16+SUM(C17:C20)</f>
        <v>349411</v>
      </c>
      <c r="D21" s="61"/>
      <c r="E21" s="69">
        <f>E16+SUM(E17:E20)</f>
        <v>349411</v>
      </c>
      <c r="F21" s="61"/>
      <c r="G21" s="69">
        <f>G16+SUM(G17:G20)</f>
        <v>49109</v>
      </c>
      <c r="H21" s="61"/>
      <c r="I21" s="69">
        <f>I16+SUM(I17:I20)</f>
        <v>57734</v>
      </c>
      <c r="J21" s="61"/>
      <c r="K21" s="69">
        <f>K16+SUM(K17:K20)</f>
        <v>63121</v>
      </c>
      <c r="L21" s="61"/>
      <c r="M21" s="70">
        <f>M16+SUM(M17:M20)</f>
        <v>519375</v>
      </c>
      <c r="N21" s="63"/>
      <c r="O21" s="69">
        <f>O16+SUM(O17:O20)</f>
        <v>155811</v>
      </c>
      <c r="P21" s="61"/>
      <c r="Q21" s="69">
        <f>Q16+SUM(Q17:Q20)</f>
        <v>12060</v>
      </c>
      <c r="R21" s="61"/>
      <c r="S21" s="69">
        <f>S16+SUM(S17:S20)</f>
        <v>918184</v>
      </c>
      <c r="T21" s="61"/>
      <c r="U21" s="70">
        <f>SUM(M21,O21,Q21,S21)</f>
        <v>1605430</v>
      </c>
    </row>
    <row r="22" spans="1:21" ht="15.75" thickTop="1">
      <c r="A22" s="55"/>
      <c r="B22" s="55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1"/>
      <c r="N22" s="63"/>
      <c r="O22" s="61"/>
      <c r="P22" s="61"/>
      <c r="Q22" s="61"/>
      <c r="R22" s="61"/>
      <c r="S22" s="61"/>
      <c r="T22" s="61"/>
      <c r="U22" s="71"/>
    </row>
    <row r="23" spans="1:21">
      <c r="A23" s="64" t="s">
        <v>117</v>
      </c>
      <c r="B23" s="55"/>
      <c r="C23" s="65"/>
      <c r="D23" s="61"/>
      <c r="E23" s="65">
        <v>544797</v>
      </c>
      <c r="F23" s="61"/>
      <c r="G23" s="65">
        <v>74746</v>
      </c>
      <c r="H23" s="61"/>
      <c r="I23" s="65">
        <v>110098</v>
      </c>
      <c r="J23" s="61"/>
      <c r="K23" s="65">
        <v>157846</v>
      </c>
      <c r="L23" s="61"/>
      <c r="M23" s="66">
        <f>SUM(E23,G23,I23,K23)</f>
        <v>887487</v>
      </c>
      <c r="N23" s="63"/>
      <c r="O23" s="65">
        <v>303371</v>
      </c>
      <c r="P23" s="61"/>
      <c r="Q23" s="65">
        <v>32892</v>
      </c>
      <c r="R23" s="61"/>
      <c r="S23" s="65">
        <v>1134568</v>
      </c>
      <c r="T23" s="61"/>
      <c r="U23" s="66">
        <f>SUM(M23,O23,Q23,S23)</f>
        <v>2358318</v>
      </c>
    </row>
    <row r="24" spans="1:21" ht="15.75" thickBot="1">
      <c r="A24" s="64" t="s">
        <v>118</v>
      </c>
      <c r="B24" s="55"/>
      <c r="C24" s="67"/>
      <c r="D24" s="61"/>
      <c r="E24" s="67">
        <v>-195386</v>
      </c>
      <c r="F24" s="61"/>
      <c r="G24" s="67">
        <v>-25637</v>
      </c>
      <c r="H24" s="61"/>
      <c r="I24" s="67">
        <v>-52364</v>
      </c>
      <c r="J24" s="61"/>
      <c r="K24" s="67">
        <v>-94725</v>
      </c>
      <c r="L24" s="61"/>
      <c r="M24" s="68">
        <f>SUM(E24,G24,I24,K24)</f>
        <v>-368112</v>
      </c>
      <c r="N24" s="63"/>
      <c r="O24" s="67">
        <v>-147560</v>
      </c>
      <c r="P24" s="61"/>
      <c r="Q24" s="67">
        <v>-20832</v>
      </c>
      <c r="R24" s="61"/>
      <c r="S24" s="67">
        <v>-216384</v>
      </c>
      <c r="T24" s="61"/>
      <c r="U24" s="68">
        <f>SUM(M24,O24,Q24,S24)</f>
        <v>-752888</v>
      </c>
    </row>
    <row r="25" spans="1:21" ht="15.75" thickBot="1">
      <c r="A25" s="59" t="s">
        <v>119</v>
      </c>
      <c r="B25" s="55"/>
      <c r="C25" s="69">
        <f>SUM(C23:C24)</f>
        <v>0</v>
      </c>
      <c r="D25" s="61"/>
      <c r="E25" s="69">
        <f>SUM(E23:E24)</f>
        <v>349411</v>
      </c>
      <c r="F25" s="61"/>
      <c r="G25" s="69">
        <f>SUM(G23:G24)</f>
        <v>49109</v>
      </c>
      <c r="H25" s="61"/>
      <c r="I25" s="69">
        <f>SUM(I23:I24)</f>
        <v>57734</v>
      </c>
      <c r="J25" s="61"/>
      <c r="K25" s="69">
        <f>SUM(K23:K24)</f>
        <v>63121</v>
      </c>
      <c r="L25" s="61"/>
      <c r="M25" s="70">
        <f>SUM(M23:M24)</f>
        <v>519375</v>
      </c>
      <c r="N25" s="63"/>
      <c r="O25" s="69">
        <f>SUM(O23:O24)</f>
        <v>155811</v>
      </c>
      <c r="P25" s="61"/>
      <c r="Q25" s="69">
        <f>SUM(Q23:Q24)</f>
        <v>12060</v>
      </c>
      <c r="R25" s="61"/>
      <c r="S25" s="69">
        <f>SUM(S23:S24)</f>
        <v>918184</v>
      </c>
      <c r="T25" s="61"/>
      <c r="U25" s="70">
        <f>SUM(U23:U24)</f>
        <v>1605430</v>
      </c>
    </row>
    <row r="26" spans="1:21" ht="15.75" thickTop="1"/>
    <row r="27" spans="1:21">
      <c r="A27" s="59" t="s">
        <v>151</v>
      </c>
      <c r="B27" s="55"/>
      <c r="C27" s="60">
        <f>C25</f>
        <v>0</v>
      </c>
      <c r="D27" s="61"/>
      <c r="E27" s="60">
        <f>E25</f>
        <v>349411</v>
      </c>
      <c r="F27" s="61"/>
      <c r="G27" s="60">
        <f>G25</f>
        <v>49109</v>
      </c>
      <c r="H27" s="61"/>
      <c r="I27" s="60">
        <f>I25</f>
        <v>57734</v>
      </c>
      <c r="J27" s="61"/>
      <c r="K27" s="60">
        <f>K25</f>
        <v>63121</v>
      </c>
      <c r="L27" s="61"/>
      <c r="M27" s="62">
        <f>SUM(E27,G27,I27,K27)</f>
        <v>519375</v>
      </c>
      <c r="N27" s="61"/>
      <c r="O27" s="60">
        <f>O25</f>
        <v>155811</v>
      </c>
      <c r="P27" s="61"/>
      <c r="Q27" s="60">
        <f>Q25</f>
        <v>12060</v>
      </c>
      <c r="R27" s="61"/>
      <c r="S27" s="60">
        <f>S25</f>
        <v>918184</v>
      </c>
      <c r="T27" s="61"/>
      <c r="U27" s="62">
        <f>SUM(M27,O27,Q27,S27)</f>
        <v>1605430</v>
      </c>
    </row>
    <row r="28" spans="1:21">
      <c r="A28" s="64" t="s">
        <v>110</v>
      </c>
      <c r="B28" s="55"/>
      <c r="C28" s="65"/>
      <c r="D28" s="61"/>
      <c r="E28" s="65">
        <v>0</v>
      </c>
      <c r="F28" s="61"/>
      <c r="G28" s="65">
        <v>2772</v>
      </c>
      <c r="H28" s="61"/>
      <c r="I28" s="65">
        <v>13470.01</v>
      </c>
      <c r="J28" s="61"/>
      <c r="K28" s="65">
        <v>8269.82</v>
      </c>
      <c r="L28" s="61"/>
      <c r="M28" s="66">
        <f>SUM(E28,G28,I28,K28)</f>
        <v>24511.83</v>
      </c>
      <c r="N28" s="63"/>
      <c r="O28" s="65">
        <v>36692.01</v>
      </c>
      <c r="P28" s="61"/>
      <c r="Q28" s="65">
        <v>0</v>
      </c>
      <c r="R28" s="61"/>
      <c r="S28" s="65"/>
      <c r="T28" s="61"/>
      <c r="U28" s="66">
        <f>SUM(M28,O28,Q28,S28)</f>
        <v>61203.840000000004</v>
      </c>
    </row>
    <row r="29" spans="1:21">
      <c r="A29" s="64" t="s">
        <v>112</v>
      </c>
      <c r="B29" s="55"/>
      <c r="C29" s="65"/>
      <c r="D29" s="61"/>
      <c r="E29" s="65">
        <v>0</v>
      </c>
      <c r="F29" s="61"/>
      <c r="G29" s="65"/>
      <c r="H29" s="61"/>
      <c r="I29" s="65"/>
      <c r="J29" s="61"/>
      <c r="K29" s="65"/>
      <c r="L29" s="61"/>
      <c r="M29" s="66">
        <f>SUM(E29,G29,I29,K29)</f>
        <v>0</v>
      </c>
      <c r="N29" s="63"/>
      <c r="O29" s="65"/>
      <c r="P29" s="61"/>
      <c r="Q29" s="65"/>
      <c r="R29" s="61"/>
      <c r="S29" s="65">
        <v>687882</v>
      </c>
      <c r="T29" s="61"/>
      <c r="U29" s="66">
        <f>SUM(M29,O29,Q29,S29)</f>
        <v>687882</v>
      </c>
    </row>
    <row r="30" spans="1:21">
      <c r="A30" s="64" t="s">
        <v>114</v>
      </c>
      <c r="B30" s="55"/>
      <c r="C30" s="65"/>
      <c r="D30" s="61"/>
      <c r="E30" s="65">
        <v>0</v>
      </c>
      <c r="F30" s="61"/>
      <c r="G30" s="65"/>
      <c r="H30" s="61"/>
      <c r="I30" s="65"/>
      <c r="J30" s="61"/>
      <c r="K30" s="65"/>
      <c r="L30" s="61"/>
      <c r="M30" s="66">
        <f>SUM(E30,G30,I30,K30)</f>
        <v>0</v>
      </c>
      <c r="N30" s="63"/>
      <c r="O30" s="65"/>
      <c r="P30" s="61"/>
      <c r="Q30" s="65"/>
      <c r="R30" s="61"/>
      <c r="S30" s="65"/>
      <c r="T30" s="61"/>
      <c r="U30" s="66">
        <f>SUM(M30,O30,Q30,S30)</f>
        <v>0</v>
      </c>
    </row>
    <row r="31" spans="1:21" ht="15.75" thickBot="1">
      <c r="A31" s="64" t="s">
        <v>115</v>
      </c>
      <c r="B31" s="55"/>
      <c r="C31" s="67"/>
      <c r="D31" s="61"/>
      <c r="E31" s="67">
        <v>-98407.5</v>
      </c>
      <c r="F31" s="61"/>
      <c r="G31" s="67">
        <v>-9899.09</v>
      </c>
      <c r="H31" s="61"/>
      <c r="I31" s="67">
        <v>-24338.02</v>
      </c>
      <c r="J31" s="61"/>
      <c r="K31" s="67">
        <v>-30286.73</v>
      </c>
      <c r="L31" s="61"/>
      <c r="M31" s="68">
        <f>SUM(E31,G31,I31,K31)</f>
        <v>-162931.34</v>
      </c>
      <c r="N31" s="63"/>
      <c r="O31" s="67">
        <v>-29696.58</v>
      </c>
      <c r="P31" s="61"/>
      <c r="Q31" s="67">
        <v>-6676.62</v>
      </c>
      <c r="R31" s="61"/>
      <c r="S31" s="67">
        <v>-230301.93</v>
      </c>
      <c r="T31" s="61"/>
      <c r="U31" s="68">
        <f>SUM(M31,O31,Q31,S31)</f>
        <v>-429606.47</v>
      </c>
    </row>
    <row r="32" spans="1:21" ht="6.75" customHeight="1">
      <c r="A32" s="64"/>
      <c r="B32" s="55"/>
      <c r="C32" s="132"/>
      <c r="D32" s="61"/>
      <c r="E32" s="132"/>
      <c r="F32" s="61"/>
      <c r="G32" s="132"/>
      <c r="H32" s="61"/>
      <c r="I32" s="132"/>
      <c r="J32" s="61"/>
      <c r="K32" s="132"/>
      <c r="L32" s="61"/>
      <c r="M32" s="133"/>
      <c r="N32" s="63"/>
      <c r="O32" s="132"/>
      <c r="P32" s="61"/>
      <c r="Q32" s="132"/>
      <c r="R32" s="61"/>
      <c r="S32" s="132"/>
      <c r="T32" s="61"/>
      <c r="U32" s="133"/>
    </row>
    <row r="33" spans="1:21" ht="18" customHeight="1" thickBot="1">
      <c r="A33" s="59" t="s">
        <v>150</v>
      </c>
      <c r="B33" s="55"/>
      <c r="C33" s="69">
        <f>C27+SUM(C28:C31)</f>
        <v>0</v>
      </c>
      <c r="D33" s="61"/>
      <c r="E33" s="69">
        <f>E27+SUM(E28:E31)</f>
        <v>251003.5</v>
      </c>
      <c r="F33" s="61"/>
      <c r="G33" s="69">
        <f>G27+SUM(G28:G31)</f>
        <v>41981.91</v>
      </c>
      <c r="H33" s="61"/>
      <c r="I33" s="69">
        <f>I27+SUM(I28:I31)</f>
        <v>46865.99</v>
      </c>
      <c r="J33" s="61"/>
      <c r="K33" s="69">
        <f>K27+SUM(K28:K31)</f>
        <v>41104.089999999997</v>
      </c>
      <c r="L33" s="61"/>
      <c r="M33" s="70">
        <f>M27+SUM(M28:M31)</f>
        <v>380955.49</v>
      </c>
      <c r="N33" s="63"/>
      <c r="O33" s="69">
        <f>O27+SUM(O28:O31)</f>
        <v>162806.43</v>
      </c>
      <c r="P33" s="61"/>
      <c r="Q33" s="69">
        <f>Q27+SUM(Q28:Q31)</f>
        <v>5383.38</v>
      </c>
      <c r="R33" s="61"/>
      <c r="S33" s="69">
        <f>S27+SUM(S28:S31)</f>
        <v>1375764.07</v>
      </c>
      <c r="T33" s="61"/>
      <c r="U33" s="70">
        <f>SUM(M33,O33,Q33,S33)</f>
        <v>1924909.37</v>
      </c>
    </row>
    <row r="34" spans="1:21" ht="14.25" customHeight="1" thickTop="1">
      <c r="A34" s="55"/>
      <c r="B34" s="55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71"/>
      <c r="N34" s="63"/>
      <c r="O34" s="61"/>
      <c r="P34" s="61"/>
      <c r="Q34" s="61"/>
      <c r="R34" s="61"/>
      <c r="S34" s="61"/>
      <c r="T34" s="61"/>
      <c r="U34" s="71"/>
    </row>
    <row r="35" spans="1:21">
      <c r="A35" s="64" t="s">
        <v>117</v>
      </c>
      <c r="B35" s="55"/>
      <c r="C35" s="65">
        <f>C23+C28-C29-C30</f>
        <v>0</v>
      </c>
      <c r="D35" s="61"/>
      <c r="E35" s="65">
        <f>E23+E28-E29-E30</f>
        <v>544797</v>
      </c>
      <c r="F35" s="61"/>
      <c r="G35" s="65">
        <f>G23+G28-G29-G30</f>
        <v>77518</v>
      </c>
      <c r="H35" s="61"/>
      <c r="I35" s="65">
        <f>I23+I28-I29-I30</f>
        <v>123568.01</v>
      </c>
      <c r="J35" s="61"/>
      <c r="K35" s="65">
        <f>K23+K28-K29-K30</f>
        <v>166115.82</v>
      </c>
      <c r="L35" s="61"/>
      <c r="M35" s="66">
        <f>SUM(E35,G35,I35,K35)</f>
        <v>911998.83000000007</v>
      </c>
      <c r="N35" s="63"/>
      <c r="O35" s="65">
        <f>O23+O28-O29-O30</f>
        <v>340063.01</v>
      </c>
      <c r="P35" s="61"/>
      <c r="Q35" s="65">
        <f>Q23+Q28-Q29-Q30</f>
        <v>32892</v>
      </c>
      <c r="R35" s="61"/>
      <c r="S35" s="65">
        <f>S23+S28-S29-S30</f>
        <v>446686</v>
      </c>
      <c r="T35" s="61"/>
      <c r="U35" s="66">
        <f>SUM(M35,O35,Q35,S35)</f>
        <v>1731639.84</v>
      </c>
    </row>
    <row r="36" spans="1:21" ht="15.75" thickBot="1">
      <c r="A36" s="64" t="s">
        <v>118</v>
      </c>
      <c r="B36" s="55"/>
      <c r="C36" s="67">
        <f>C24+C31</f>
        <v>0</v>
      </c>
      <c r="D36" s="61"/>
      <c r="E36" s="67">
        <f>E24+E31</f>
        <v>-293793.5</v>
      </c>
      <c r="F36" s="61"/>
      <c r="G36" s="67">
        <f>G24+G31</f>
        <v>-35536.089999999997</v>
      </c>
      <c r="H36" s="61"/>
      <c r="I36" s="67">
        <f>I24+I31</f>
        <v>-76702.02</v>
      </c>
      <c r="J36" s="61"/>
      <c r="K36" s="67">
        <f>K24+K31</f>
        <v>-125011.73</v>
      </c>
      <c r="L36" s="61"/>
      <c r="M36" s="68">
        <f>SUM(E36,G36,I36,K36)</f>
        <v>-531043.34</v>
      </c>
      <c r="N36" s="63"/>
      <c r="O36" s="67">
        <f>O24+O31</f>
        <v>-177256.58000000002</v>
      </c>
      <c r="P36" s="61"/>
      <c r="Q36" s="67">
        <f>Q24+Q31</f>
        <v>-27508.62</v>
      </c>
      <c r="R36" s="61"/>
      <c r="S36" s="67">
        <f>S24+S31</f>
        <v>-446685.93</v>
      </c>
      <c r="T36" s="61"/>
      <c r="U36" s="68">
        <f>SUM(M36,O36,Q36,S36)</f>
        <v>-1182494.47</v>
      </c>
    </row>
    <row r="37" spans="1:21" ht="15.75" thickBot="1">
      <c r="A37" s="59" t="s">
        <v>119</v>
      </c>
      <c r="B37" s="55"/>
      <c r="C37" s="69">
        <f>SUM(C35:C36)</f>
        <v>0</v>
      </c>
      <c r="D37" s="61"/>
      <c r="E37" s="69">
        <f>SUM(E35:E36)</f>
        <v>251003.5</v>
      </c>
      <c r="F37" s="61"/>
      <c r="G37" s="69">
        <f>SUM(G35:G36)</f>
        <v>41981.91</v>
      </c>
      <c r="H37" s="61"/>
      <c r="I37" s="69">
        <f>SUM(I35:I36)</f>
        <v>46865.989999999991</v>
      </c>
      <c r="J37" s="61"/>
      <c r="K37" s="69">
        <f>SUM(K35:K36)</f>
        <v>41104.090000000011</v>
      </c>
      <c r="L37" s="61"/>
      <c r="M37" s="70">
        <f>SUM(M35:M36)</f>
        <v>380955.49000000011</v>
      </c>
      <c r="N37" s="63"/>
      <c r="O37" s="69">
        <f>SUM(O35:O36)</f>
        <v>162806.43</v>
      </c>
      <c r="P37" s="61"/>
      <c r="Q37" s="69">
        <f>SUM(Q35:Q36)</f>
        <v>5383.380000000001</v>
      </c>
      <c r="R37" s="61"/>
      <c r="S37" s="69">
        <f>SUM(S35:S36)</f>
        <v>7.0000000006984919E-2</v>
      </c>
      <c r="T37" s="61"/>
      <c r="U37" s="70">
        <f>SUM(U35:U36)</f>
        <v>549145.37000000011</v>
      </c>
    </row>
    <row r="38" spans="1:21" ht="15.75" thickTop="1"/>
    <row r="39" spans="1:21">
      <c r="A39" s="59" t="s">
        <v>174</v>
      </c>
      <c r="B39" s="55"/>
      <c r="C39" s="60">
        <f>C37</f>
        <v>0</v>
      </c>
      <c r="D39" s="61"/>
      <c r="E39" s="60">
        <f>E37</f>
        <v>251003.5</v>
      </c>
      <c r="F39" s="61"/>
      <c r="G39" s="60">
        <f>G37</f>
        <v>41981.91</v>
      </c>
      <c r="H39" s="61"/>
      <c r="I39" s="60">
        <f>I37</f>
        <v>46865.989999999991</v>
      </c>
      <c r="J39" s="61"/>
      <c r="K39" s="60">
        <f>K37</f>
        <v>41104.090000000011</v>
      </c>
      <c r="L39" s="61"/>
      <c r="M39" s="62">
        <f>SUM(E39,G39,I39,K39,C39)</f>
        <v>380955.49000000005</v>
      </c>
      <c r="N39" s="61"/>
      <c r="O39" s="60">
        <f>O37</f>
        <v>162806.43</v>
      </c>
      <c r="P39" s="61"/>
      <c r="Q39" s="60">
        <f>Q37</f>
        <v>5383.380000000001</v>
      </c>
      <c r="R39" s="61"/>
      <c r="S39" s="60">
        <f>S37</f>
        <v>7.0000000006984919E-2</v>
      </c>
      <c r="T39" s="61"/>
      <c r="U39" s="62">
        <f t="shared" ref="U39:U44" si="0">SUM(M39,O39,Q39,S39)</f>
        <v>549145.37000000011</v>
      </c>
    </row>
    <row r="40" spans="1:21">
      <c r="A40" s="64" t="s">
        <v>110</v>
      </c>
      <c r="B40" s="55"/>
      <c r="C40" s="65"/>
      <c r="D40" s="61"/>
      <c r="E40" s="65"/>
      <c r="F40" s="61"/>
      <c r="G40" s="65">
        <v>7800</v>
      </c>
      <c r="H40" s="61"/>
      <c r="I40" s="65">
        <v>5904.21</v>
      </c>
      <c r="J40" s="61"/>
      <c r="K40" s="65"/>
      <c r="L40" s="61"/>
      <c r="M40" s="62">
        <f>SUM(E40,G40,I40,K40,C40)</f>
        <v>13704.21</v>
      </c>
      <c r="N40" s="63"/>
      <c r="O40" s="167">
        <v>135652.44</v>
      </c>
      <c r="P40" s="61"/>
      <c r="Q40" s="65">
        <v>0</v>
      </c>
      <c r="R40" s="61"/>
      <c r="S40" s="65"/>
      <c r="T40" s="61"/>
      <c r="U40" s="66">
        <f t="shared" si="0"/>
        <v>149356.65</v>
      </c>
    </row>
    <row r="41" spans="1:21">
      <c r="A41" s="64" t="s">
        <v>173</v>
      </c>
      <c r="B41" s="55"/>
      <c r="C41" s="65">
        <v>2179600</v>
      </c>
      <c r="D41" s="61"/>
      <c r="E41" s="65">
        <f>259593.63+0.7</f>
        <v>259594.33000000002</v>
      </c>
      <c r="F41" s="61"/>
      <c r="G41" s="65"/>
      <c r="H41" s="61"/>
      <c r="I41" s="65"/>
      <c r="J41" s="61"/>
      <c r="K41" s="65"/>
      <c r="L41" s="61"/>
      <c r="M41" s="62">
        <f>SUM(E41,G41,I41,K41,C41)</f>
        <v>2439194.33</v>
      </c>
      <c r="N41" s="63"/>
      <c r="O41" s="65"/>
      <c r="P41" s="61"/>
      <c r="Q41" s="65"/>
      <c r="R41" s="61"/>
      <c r="S41" s="65"/>
      <c r="T41" s="61"/>
      <c r="U41" s="66">
        <f t="shared" si="0"/>
        <v>2439194.33</v>
      </c>
    </row>
    <row r="42" spans="1:21">
      <c r="A42" s="64" t="s">
        <v>112</v>
      </c>
      <c r="B42" s="55"/>
      <c r="C42" s="65"/>
      <c r="D42" s="61"/>
      <c r="E42" s="65"/>
      <c r="F42" s="61"/>
      <c r="G42" s="65"/>
      <c r="H42" s="61"/>
      <c r="I42" s="65"/>
      <c r="J42" s="61"/>
      <c r="K42" s="65"/>
      <c r="L42" s="61"/>
      <c r="M42" s="62">
        <f>SUM(E42,G42,I42,K42,C42)</f>
        <v>0</v>
      </c>
      <c r="N42" s="63"/>
      <c r="O42" s="65"/>
      <c r="P42" s="61"/>
      <c r="Q42" s="65"/>
      <c r="R42" s="61"/>
      <c r="S42" s="65"/>
      <c r="T42" s="61"/>
      <c r="U42" s="66">
        <f t="shared" si="0"/>
        <v>0</v>
      </c>
    </row>
    <row r="43" spans="1:21">
      <c r="A43" s="64" t="s">
        <v>114</v>
      </c>
      <c r="B43" s="55"/>
      <c r="C43" s="65"/>
      <c r="D43" s="61"/>
      <c r="E43" s="65"/>
      <c r="F43" s="61"/>
      <c r="G43" s="65"/>
      <c r="H43" s="61"/>
      <c r="I43" s="65"/>
      <c r="J43" s="61"/>
      <c r="K43" s="65"/>
      <c r="L43" s="61"/>
      <c r="M43" s="62">
        <f>SUM(E43,G43,I43,K43,C43)</f>
        <v>0</v>
      </c>
      <c r="N43" s="63"/>
      <c r="O43" s="65"/>
      <c r="P43" s="61"/>
      <c r="Q43" s="65"/>
      <c r="R43" s="61"/>
      <c r="S43" s="65"/>
      <c r="T43" s="61"/>
      <c r="U43" s="66">
        <f t="shared" si="0"/>
        <v>0</v>
      </c>
    </row>
    <row r="44" spans="1:21" ht="15.75" thickBot="1">
      <c r="A44" s="64" t="s">
        <v>115</v>
      </c>
      <c r="B44" s="55"/>
      <c r="C44" s="67"/>
      <c r="D44" s="61"/>
      <c r="E44" s="67">
        <v>-7697.8</v>
      </c>
      <c r="F44" s="61"/>
      <c r="G44" s="67">
        <v>-5553.2</v>
      </c>
      <c r="H44" s="61"/>
      <c r="I44" s="166">
        <v>-67676.320000000007</v>
      </c>
      <c r="J44" s="61"/>
      <c r="K44" s="67">
        <v>-14316.42</v>
      </c>
      <c r="L44" s="61"/>
      <c r="M44" s="165">
        <f>SUM(E44,G44,I44,K44+C44)</f>
        <v>-95243.74</v>
      </c>
      <c r="N44" s="63"/>
      <c r="O44" s="67">
        <v>-18311.189999999999</v>
      </c>
      <c r="P44" s="61"/>
      <c r="Q44" s="67">
        <v>-3485.64</v>
      </c>
      <c r="R44" s="61"/>
      <c r="S44" s="166">
        <v>-8403.42</v>
      </c>
      <c r="T44" s="61"/>
      <c r="U44" s="68">
        <f t="shared" si="0"/>
        <v>-125443.99</v>
      </c>
    </row>
    <row r="45" spans="1:21" ht="6.75" customHeight="1">
      <c r="A45" s="64"/>
      <c r="B45" s="55"/>
      <c r="C45" s="132"/>
      <c r="D45" s="61"/>
      <c r="E45" s="132"/>
      <c r="F45" s="61"/>
      <c r="G45" s="132"/>
      <c r="H45" s="61"/>
      <c r="I45" s="132"/>
      <c r="J45" s="61"/>
      <c r="K45" s="132"/>
      <c r="L45" s="61"/>
      <c r="M45" s="133"/>
      <c r="N45" s="63"/>
      <c r="O45" s="132"/>
      <c r="P45" s="61"/>
      <c r="Q45" s="132"/>
      <c r="R45" s="61"/>
      <c r="S45" s="132"/>
      <c r="T45" s="61"/>
      <c r="U45" s="133"/>
    </row>
    <row r="46" spans="1:21" ht="18" customHeight="1" thickBot="1">
      <c r="A46" s="59" t="s">
        <v>175</v>
      </c>
      <c r="B46" s="55"/>
      <c r="C46" s="69">
        <f>C39+SUM(C40:C44)</f>
        <v>2179600</v>
      </c>
      <c r="D46" s="61"/>
      <c r="E46" s="69">
        <f>E39+SUM(E40:E44)</f>
        <v>502900.03</v>
      </c>
      <c r="F46" s="61"/>
      <c r="G46" s="69">
        <f>G39+SUM(G40:G44)</f>
        <v>44228.710000000006</v>
      </c>
      <c r="H46" s="61"/>
      <c r="I46" s="69">
        <f>I39+SUM(I40:I44)</f>
        <v>-14906.120000000017</v>
      </c>
      <c r="J46" s="61"/>
      <c r="K46" s="69">
        <f>K39+SUM(K40:K44)</f>
        <v>26787.670000000013</v>
      </c>
      <c r="L46" s="61"/>
      <c r="M46" s="70">
        <f>M39+SUM(M40:M44)</f>
        <v>2738610.29</v>
      </c>
      <c r="N46" s="63"/>
      <c r="O46" s="69">
        <f>O39+SUM(O40:O44)</f>
        <v>280147.68</v>
      </c>
      <c r="P46" s="61"/>
      <c r="Q46" s="69">
        <f>Q39+SUM(Q40:Q44)</f>
        <v>1897.7400000000011</v>
      </c>
      <c r="R46" s="61"/>
      <c r="S46" s="69">
        <f>S39+SUM(S40:S44)</f>
        <v>-8403.3499999999931</v>
      </c>
      <c r="T46" s="61"/>
      <c r="U46" s="70">
        <f>SUM(M46,O46,Q46,S46)</f>
        <v>3012252.3600000003</v>
      </c>
    </row>
    <row r="47" spans="1:21" ht="14.25" customHeight="1" thickTop="1">
      <c r="A47" s="55"/>
      <c r="B47" s="5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71"/>
      <c r="N47" s="63"/>
      <c r="O47" s="61"/>
      <c r="P47" s="61"/>
      <c r="Q47" s="61"/>
      <c r="R47" s="61"/>
      <c r="S47" s="61"/>
      <c r="T47" s="61"/>
      <c r="U47" s="71"/>
    </row>
    <row r="48" spans="1:21">
      <c r="A48" s="64" t="s">
        <v>117</v>
      </c>
      <c r="B48" s="55"/>
      <c r="C48" s="65">
        <f>C35+C40+C41-C42-C43</f>
        <v>2179600</v>
      </c>
      <c r="D48" s="65"/>
      <c r="E48" s="65">
        <f>E35+E40+E41-E42-E43</f>
        <v>804391.33000000007</v>
      </c>
      <c r="F48" s="65"/>
      <c r="G48" s="65">
        <f>G35+G40+G41-G42-G43</f>
        <v>85318</v>
      </c>
      <c r="H48" s="65"/>
      <c r="I48" s="65">
        <f>I35+I40+I41-I42-I43</f>
        <v>129472.22</v>
      </c>
      <c r="J48" s="65"/>
      <c r="K48" s="65">
        <f>K35+K40+K41-K42-K43</f>
        <v>166115.82</v>
      </c>
      <c r="L48" s="61"/>
      <c r="M48" s="62">
        <f>SUM(E48,G48,I48,K48,C48)</f>
        <v>3364897.37</v>
      </c>
      <c r="N48" s="63"/>
      <c r="O48" s="65">
        <f>O35+O40+O4-O42-O43</f>
        <v>475715.45</v>
      </c>
      <c r="P48" s="61"/>
      <c r="Q48" s="65">
        <f>Q35+Q40+Q4-Q42-Q43</f>
        <v>32892</v>
      </c>
      <c r="R48" s="61"/>
      <c r="S48" s="65">
        <f>S35+S40+S4-S42-S43</f>
        <v>446686</v>
      </c>
      <c r="T48" s="61"/>
      <c r="U48" s="66">
        <f>SUM(M48,O48,Q48,S48)</f>
        <v>4320190.82</v>
      </c>
    </row>
    <row r="49" spans="1:21" ht="15.75" thickBot="1">
      <c r="A49" s="64" t="s">
        <v>118</v>
      </c>
      <c r="B49" s="55"/>
      <c r="C49" s="67">
        <f>C36+C44</f>
        <v>0</v>
      </c>
      <c r="D49" s="61"/>
      <c r="E49" s="67">
        <f>E36+E44</f>
        <v>-301491.3</v>
      </c>
      <c r="F49" s="61"/>
      <c r="G49" s="67">
        <f>G36+G44</f>
        <v>-41089.289999999994</v>
      </c>
      <c r="H49" s="61"/>
      <c r="I49" s="67">
        <f>I36+I44</f>
        <v>-144378.34000000003</v>
      </c>
      <c r="J49" s="61"/>
      <c r="K49" s="67">
        <f>K36+K44</f>
        <v>-139328.15</v>
      </c>
      <c r="L49" s="61"/>
      <c r="M49" s="165">
        <f>SUM(E49,G49,I49,K49+C49)</f>
        <v>-626287.07999999996</v>
      </c>
      <c r="N49" s="63"/>
      <c r="O49" s="67">
        <f>O36+O44</f>
        <v>-195567.77000000002</v>
      </c>
      <c r="P49" s="61"/>
      <c r="Q49" s="67">
        <f>Q36+Q44</f>
        <v>-30994.26</v>
      </c>
      <c r="R49" s="61"/>
      <c r="S49" s="67">
        <f>S36+S44</f>
        <v>-455089.35</v>
      </c>
      <c r="T49" s="61"/>
      <c r="U49" s="68">
        <f>SUM(M49,O49,Q49,S49)</f>
        <v>-1307938.46</v>
      </c>
    </row>
    <row r="50" spans="1:21" ht="15.75" thickBot="1">
      <c r="A50" s="59" t="s">
        <v>119</v>
      </c>
      <c r="B50" s="55"/>
      <c r="C50" s="69">
        <f>SUM(C48:C49)</f>
        <v>2179600</v>
      </c>
      <c r="D50" s="61"/>
      <c r="E50" s="69">
        <f>SUM(E48:E49)</f>
        <v>502900.03000000009</v>
      </c>
      <c r="F50" s="61"/>
      <c r="G50" s="69">
        <f>SUM(G48:G49)</f>
        <v>44228.710000000006</v>
      </c>
      <c r="H50" s="61"/>
      <c r="I50" s="69">
        <f>SUM(I48:I49)</f>
        <v>-14906.120000000024</v>
      </c>
      <c r="J50" s="61"/>
      <c r="K50" s="69">
        <f>SUM(K48:K49)</f>
        <v>26787.670000000013</v>
      </c>
      <c r="L50" s="61"/>
      <c r="M50" s="70">
        <f>SUM(M48:M49)</f>
        <v>2738610.29</v>
      </c>
      <c r="N50" s="63"/>
      <c r="O50" s="69">
        <f>SUM(O48:O49)</f>
        <v>280147.68</v>
      </c>
      <c r="P50" s="61"/>
      <c r="Q50" s="69">
        <f>SUM(Q48:Q49)</f>
        <v>1897.7400000000016</v>
      </c>
      <c r="R50" s="61"/>
      <c r="S50" s="69">
        <f>SUM(S48:S49)</f>
        <v>-8403.3499999999767</v>
      </c>
      <c r="T50" s="61"/>
      <c r="U50" s="70">
        <f>SUM(U48:U49)</f>
        <v>3012252.3600000003</v>
      </c>
    </row>
    <row r="51" spans="1:21" ht="15.75" thickTop="1"/>
  </sheetData>
  <mergeCells count="1">
    <mergeCell ref="C1:U1"/>
  </mergeCells>
  <pageMargins left="0.2" right="0.2" top="0.78740157480314965" bottom="0.78740157480314965" header="0.31496062992125984" footer="0.31496062992125984"/>
  <pageSetup paperSize="9" scale="7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19"/>
  <sheetViews>
    <sheetView workbookViewId="0">
      <selection activeCell="C19" sqref="C19"/>
    </sheetView>
  </sheetViews>
  <sheetFormatPr defaultRowHeight="16.5" customHeight="1"/>
  <cols>
    <col min="1" max="1" width="42" customWidth="1"/>
    <col min="2" max="2" width="3.140625" customWidth="1"/>
    <col min="3" max="3" width="10.42578125" customWidth="1"/>
    <col min="4" max="4" width="2.42578125" customWidth="1"/>
    <col min="5" max="5" width="11" bestFit="1" customWidth="1"/>
  </cols>
  <sheetData>
    <row r="4" spans="1:5" ht="16.5" customHeight="1" thickBot="1">
      <c r="A4" s="45"/>
      <c r="B4" s="45"/>
      <c r="C4" s="46">
        <v>2012</v>
      </c>
      <c r="D4" s="45"/>
      <c r="E4" s="46">
        <v>2011</v>
      </c>
    </row>
    <row r="5" spans="1:5" ht="10.5" customHeight="1">
      <c r="A5" s="49"/>
      <c r="B5" s="50"/>
      <c r="C5" s="50"/>
      <c r="D5" s="50"/>
      <c r="E5" s="50"/>
    </row>
    <row r="6" spans="1:5" ht="15">
      <c r="A6" s="49" t="s">
        <v>152</v>
      </c>
      <c r="B6" s="50"/>
      <c r="C6" s="135">
        <v>2041.49</v>
      </c>
      <c r="D6" s="50"/>
      <c r="E6" s="135">
        <v>0</v>
      </c>
    </row>
    <row r="7" spans="1:5" ht="16.5" customHeight="1">
      <c r="A7" s="49" t="s">
        <v>120</v>
      </c>
      <c r="B7" s="50"/>
      <c r="C7" s="135">
        <v>423275.88</v>
      </c>
      <c r="D7" s="72"/>
      <c r="E7" s="135">
        <v>322806.28000000003</v>
      </c>
    </row>
    <row r="8" spans="1:5" ht="16.5" customHeight="1">
      <c r="A8" s="49" t="s">
        <v>121</v>
      </c>
      <c r="B8" s="50"/>
      <c r="C8" s="135">
        <v>16468.310000000001</v>
      </c>
      <c r="D8" s="72"/>
      <c r="E8" s="135">
        <v>23340</v>
      </c>
    </row>
    <row r="9" spans="1:5" ht="16.5" customHeight="1">
      <c r="A9" s="49" t="s">
        <v>153</v>
      </c>
      <c r="B9" s="50"/>
      <c r="C9" s="135">
        <v>55.1</v>
      </c>
      <c r="D9" s="72"/>
      <c r="E9" s="135">
        <v>0</v>
      </c>
    </row>
    <row r="10" spans="1:5" ht="16.5" customHeight="1">
      <c r="A10" s="49" t="s">
        <v>155</v>
      </c>
      <c r="B10" s="50"/>
      <c r="C10" s="135">
        <v>2400</v>
      </c>
      <c r="D10" s="72"/>
      <c r="E10" s="135">
        <v>0</v>
      </c>
    </row>
    <row r="11" spans="1:5" ht="16.5" customHeight="1">
      <c r="A11" s="49" t="s">
        <v>154</v>
      </c>
      <c r="B11" s="50"/>
      <c r="C11" s="135">
        <v>1382.56</v>
      </c>
      <c r="D11" s="72"/>
      <c r="E11" s="135">
        <v>0</v>
      </c>
    </row>
    <row r="12" spans="1:5" ht="16.5" customHeight="1">
      <c r="A12" s="49" t="s">
        <v>122</v>
      </c>
      <c r="B12" s="50"/>
      <c r="C12" s="135">
        <v>817190.69</v>
      </c>
      <c r="D12" s="72"/>
      <c r="E12" s="135">
        <v>335727.3</v>
      </c>
    </row>
    <row r="13" spans="1:5" ht="16.5" customHeight="1">
      <c r="A13" s="49" t="s">
        <v>123</v>
      </c>
      <c r="B13" s="50"/>
      <c r="C13" s="135">
        <v>80529.539999999994</v>
      </c>
      <c r="D13" s="72"/>
      <c r="E13" s="135">
        <v>135895.29</v>
      </c>
    </row>
    <row r="14" spans="1:5" ht="16.5" customHeight="1">
      <c r="A14" s="49" t="s">
        <v>124</v>
      </c>
      <c r="B14" s="50"/>
      <c r="C14" s="135">
        <v>42404.639999999999</v>
      </c>
      <c r="D14" s="72"/>
      <c r="E14" s="135">
        <v>7045.58</v>
      </c>
    </row>
    <row r="15" spans="1:5" ht="16.5" customHeight="1">
      <c r="A15" s="49" t="s">
        <v>125</v>
      </c>
      <c r="B15" s="50"/>
      <c r="C15" s="135">
        <v>27833.58</v>
      </c>
      <c r="D15" s="72"/>
      <c r="E15" s="135">
        <v>107921.52</v>
      </c>
    </row>
    <row r="16" spans="1:5" ht="16.5" customHeight="1">
      <c r="A16" s="49" t="s">
        <v>171</v>
      </c>
      <c r="B16" s="50"/>
      <c r="C16" s="135">
        <v>96623.2</v>
      </c>
      <c r="D16" s="72"/>
      <c r="E16" s="135">
        <v>0</v>
      </c>
    </row>
    <row r="17" spans="1:5" ht="16.5" customHeight="1" thickBot="1">
      <c r="A17" s="49" t="s">
        <v>126</v>
      </c>
      <c r="B17" s="50"/>
      <c r="C17" s="135">
        <v>28103.59</v>
      </c>
      <c r="D17" s="72"/>
      <c r="E17" s="135">
        <v>22905.63</v>
      </c>
    </row>
    <row r="18" spans="1:5" ht="16.5" customHeight="1" thickBot="1">
      <c r="A18" s="52" t="s">
        <v>92</v>
      </c>
      <c r="B18" s="45"/>
      <c r="C18" s="136">
        <f>SUM(C6:C17)</f>
        <v>1538308.5799999998</v>
      </c>
      <c r="D18" s="73"/>
      <c r="E18" s="136">
        <f>SUM(E7:E17)</f>
        <v>955641.60000000009</v>
      </c>
    </row>
    <row r="19" spans="1:5" ht="16.5" customHeight="1" thickTop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3"/>
  <sheetViews>
    <sheetView topLeftCell="A3" workbookViewId="0">
      <selection activeCell="C19" sqref="C19"/>
    </sheetView>
  </sheetViews>
  <sheetFormatPr defaultRowHeight="15"/>
  <cols>
    <col min="1" max="1" width="37.5703125" customWidth="1"/>
    <col min="2" max="2" width="2.85546875" customWidth="1"/>
    <col min="3" max="3" width="13.42578125" customWidth="1"/>
    <col min="4" max="4" width="2.42578125" customWidth="1"/>
    <col min="5" max="5" width="15.140625" customWidth="1"/>
  </cols>
  <sheetData>
    <row r="4" spans="1:5" ht="15.75" thickBot="1">
      <c r="A4" s="74"/>
      <c r="B4" s="74"/>
      <c r="C4" s="46">
        <v>2012</v>
      </c>
      <c r="D4" s="45"/>
      <c r="E4" s="46">
        <v>2011</v>
      </c>
    </row>
    <row r="5" spans="1:5">
      <c r="A5" s="75" t="s">
        <v>127</v>
      </c>
      <c r="B5" s="74"/>
      <c r="C5" s="76"/>
      <c r="D5" s="45"/>
      <c r="E5" s="76"/>
    </row>
    <row r="6" spans="1:5">
      <c r="A6" s="49" t="s">
        <v>128</v>
      </c>
      <c r="B6" s="76"/>
      <c r="C6" s="51">
        <f>536265.95+75166.02+30066.39</f>
        <v>641498.36</v>
      </c>
      <c r="D6" s="50"/>
      <c r="E6" s="51">
        <f>330314+75166+30066</f>
        <v>435546</v>
      </c>
    </row>
    <row r="7" spans="1:5">
      <c r="A7" s="49" t="s">
        <v>129</v>
      </c>
      <c r="B7" s="76"/>
      <c r="C7" s="51">
        <v>1245788.6399999999</v>
      </c>
      <c r="D7" s="50"/>
      <c r="E7" s="51">
        <v>963505</v>
      </c>
    </row>
    <row r="8" spans="1:5" ht="15.75" thickBot="1">
      <c r="A8" s="49" t="s">
        <v>130</v>
      </c>
      <c r="B8" s="45"/>
      <c r="C8" s="50">
        <v>0</v>
      </c>
      <c r="D8" s="45"/>
      <c r="E8" s="50">
        <v>0</v>
      </c>
    </row>
    <row r="9" spans="1:5" ht="15.75" thickBot="1">
      <c r="A9" s="52"/>
      <c r="B9" s="45"/>
      <c r="C9" s="77">
        <f>SUM(C6:C8)</f>
        <v>1887287</v>
      </c>
      <c r="D9" s="45"/>
      <c r="E9" s="77">
        <f>SUM(E6:E8)</f>
        <v>1399051</v>
      </c>
    </row>
    <row r="10" spans="1:5">
      <c r="A10" s="54"/>
      <c r="B10" s="74"/>
      <c r="C10" s="76"/>
      <c r="D10" s="45"/>
      <c r="E10" s="76"/>
    </row>
    <row r="11" spans="1:5">
      <c r="A11" s="75" t="s">
        <v>131</v>
      </c>
      <c r="B11" s="74"/>
      <c r="C11" s="76"/>
      <c r="D11" s="45"/>
      <c r="E11" s="76"/>
    </row>
    <row r="12" spans="1:5">
      <c r="A12" s="49" t="s">
        <v>132</v>
      </c>
      <c r="B12" s="50"/>
      <c r="C12" s="137">
        <f>1773158.22+11933.99</f>
        <v>1785092.21</v>
      </c>
      <c r="D12" s="50"/>
      <c r="E12" s="51">
        <f>1654684+48489</f>
        <v>1703173</v>
      </c>
    </row>
    <row r="13" spans="1:5">
      <c r="A13" s="49" t="s">
        <v>133</v>
      </c>
      <c r="B13" s="76"/>
      <c r="C13" s="137">
        <v>565693.11</v>
      </c>
      <c r="D13" s="50"/>
      <c r="E13" s="51">
        <v>478654</v>
      </c>
    </row>
    <row r="14" spans="1:5" ht="15.75" thickBot="1">
      <c r="A14" s="49" t="s">
        <v>134</v>
      </c>
      <c r="B14" s="76"/>
      <c r="C14" s="137">
        <v>48239.88</v>
      </c>
      <c r="D14" s="50"/>
      <c r="E14" s="51">
        <v>77981</v>
      </c>
    </row>
    <row r="15" spans="1:5" ht="15.75" thickBot="1">
      <c r="A15" s="52"/>
      <c r="B15" s="45"/>
      <c r="C15" s="77">
        <f>SUM(C12:C14)</f>
        <v>2399025.1999999997</v>
      </c>
      <c r="D15" s="45"/>
      <c r="E15" s="77">
        <f>SUM(E12:E14)</f>
        <v>2259808</v>
      </c>
    </row>
    <row r="16" spans="1:5">
      <c r="A16" s="75" t="s">
        <v>135</v>
      </c>
      <c r="B16" s="74"/>
      <c r="C16" s="50"/>
      <c r="D16" s="45"/>
      <c r="E16" s="50"/>
    </row>
    <row r="17" spans="1:5">
      <c r="A17" s="49" t="s">
        <v>136</v>
      </c>
      <c r="B17" s="50"/>
      <c r="C17" s="137">
        <f>272628.8+144166.97+33507.94</f>
        <v>450303.71</v>
      </c>
      <c r="D17" s="50"/>
      <c r="E17" s="51">
        <f>243628+107737+37444+1344-32028</f>
        <v>358125</v>
      </c>
    </row>
    <row r="18" spans="1:5">
      <c r="A18" s="49" t="s">
        <v>137</v>
      </c>
      <c r="B18" s="76"/>
      <c r="C18" s="137">
        <v>96882.52</v>
      </c>
      <c r="D18" s="50"/>
      <c r="E18" s="51">
        <v>106967</v>
      </c>
    </row>
    <row r="19" spans="1:5" ht="15.75" thickBot="1">
      <c r="A19" s="49" t="s">
        <v>138</v>
      </c>
      <c r="B19" s="76"/>
      <c r="C19" s="137">
        <f>95150.92+526.2+7040.28+106+772.95</f>
        <v>103596.34999999999</v>
      </c>
      <c r="D19" s="50"/>
      <c r="E19" s="51">
        <f>170254+950+1102</f>
        <v>172306</v>
      </c>
    </row>
    <row r="20" spans="1:5" ht="15.75" thickBot="1">
      <c r="A20" s="49" t="s">
        <v>139</v>
      </c>
      <c r="B20" s="76"/>
      <c r="C20" s="77">
        <f>SUM(C17:C19)</f>
        <v>650782.57999999996</v>
      </c>
      <c r="D20" s="45"/>
      <c r="E20" s="77">
        <f>SUM(E17:E19)</f>
        <v>637398</v>
      </c>
    </row>
    <row r="21" spans="1:5" ht="15.75" thickBot="1">
      <c r="A21" s="49" t="s">
        <v>139</v>
      </c>
      <c r="B21" s="76"/>
      <c r="C21" s="78"/>
      <c r="D21" s="45"/>
      <c r="E21" s="78"/>
    </row>
    <row r="22" spans="1:5" ht="15.75" thickBot="1">
      <c r="A22" s="52" t="s">
        <v>92</v>
      </c>
      <c r="B22" s="45"/>
      <c r="C22" s="79">
        <f>SUM(C9,C15,C20)</f>
        <v>4937094.7799999993</v>
      </c>
      <c r="D22" s="45"/>
      <c r="E22" s="79">
        <f>SUM(E9,E15,E20)</f>
        <v>4296257</v>
      </c>
    </row>
    <row r="23" spans="1:5" ht="15.75" thickTop="1"/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18"/>
  <sheetViews>
    <sheetView topLeftCell="A3" workbookViewId="0">
      <selection activeCell="C19" sqref="C19"/>
    </sheetView>
  </sheetViews>
  <sheetFormatPr defaultRowHeight="21" customHeight="1"/>
  <cols>
    <col min="1" max="1" width="37.42578125" customWidth="1"/>
    <col min="2" max="2" width="3.28515625" customWidth="1"/>
    <col min="3" max="3" width="10.140625" bestFit="1" customWidth="1"/>
    <col min="4" max="4" width="3" customWidth="1"/>
    <col min="5" max="5" width="10.140625" bestFit="1" customWidth="1"/>
  </cols>
  <sheetData>
    <row r="4" spans="1:5" ht="21" customHeight="1" thickBot="1">
      <c r="A4" s="45"/>
      <c r="B4" s="45"/>
      <c r="C4" s="46">
        <v>2012</v>
      </c>
      <c r="D4" s="45"/>
      <c r="E4" s="46">
        <v>2011</v>
      </c>
    </row>
    <row r="5" spans="1:5" ht="12" customHeight="1">
      <c r="A5" s="49"/>
      <c r="B5" s="50"/>
      <c r="C5" s="50"/>
      <c r="D5" s="50"/>
      <c r="E5" s="50"/>
    </row>
    <row r="6" spans="1:5" ht="21" customHeight="1">
      <c r="A6" s="49" t="s">
        <v>140</v>
      </c>
      <c r="B6" s="50"/>
      <c r="C6" s="51">
        <v>56501090.060000002</v>
      </c>
      <c r="D6" s="50"/>
      <c r="E6" s="51">
        <v>77235274</v>
      </c>
    </row>
    <row r="7" spans="1:5" ht="21" customHeight="1">
      <c r="A7" s="49" t="s">
        <v>141</v>
      </c>
      <c r="B7" s="50"/>
      <c r="C7" s="51">
        <f>8206078.67</f>
        <v>8206078.6699999999</v>
      </c>
      <c r="D7" s="50"/>
      <c r="E7" s="51">
        <v>14839340</v>
      </c>
    </row>
    <row r="8" spans="1:5" ht="21" customHeight="1" thickBot="1">
      <c r="A8" s="49" t="s">
        <v>142</v>
      </c>
      <c r="B8" s="50"/>
      <c r="C8" s="51">
        <v>2458877.27</v>
      </c>
      <c r="D8" s="50"/>
      <c r="E8" s="51">
        <v>2130125</v>
      </c>
    </row>
    <row r="9" spans="1:5" ht="21" customHeight="1" thickBot="1">
      <c r="A9" s="52" t="s">
        <v>92</v>
      </c>
      <c r="B9" s="45"/>
      <c r="C9" s="53">
        <f>SUM(C6:C8)</f>
        <v>67166046</v>
      </c>
      <c r="D9" s="54"/>
      <c r="E9" s="53">
        <f>SUM(E6:E8)</f>
        <v>94204739</v>
      </c>
    </row>
    <row r="10" spans="1:5" ht="21" customHeight="1" thickTop="1"/>
    <row r="11" spans="1:5" ht="21" customHeight="1">
      <c r="C11" s="44"/>
      <c r="E11" s="44"/>
    </row>
    <row r="13" spans="1:5" s="81" customFormat="1" ht="21" customHeight="1" thickBot="1">
      <c r="A13" s="34"/>
      <c r="B13" s="34"/>
      <c r="C13" s="80">
        <v>2012</v>
      </c>
      <c r="D13" s="34"/>
      <c r="E13" s="80">
        <v>2011</v>
      </c>
    </row>
    <row r="14" spans="1:5" s="81" customFormat="1" ht="11.25" customHeight="1">
      <c r="A14" s="35"/>
      <c r="B14" s="36"/>
      <c r="C14" s="36"/>
      <c r="D14" s="36"/>
      <c r="E14" s="36"/>
    </row>
    <row r="15" spans="1:5" s="81" customFormat="1" ht="21" customHeight="1">
      <c r="A15" s="35" t="s">
        <v>143</v>
      </c>
      <c r="B15" s="36"/>
      <c r="C15" s="37">
        <v>56501090.060000002</v>
      </c>
      <c r="D15" s="36"/>
      <c r="E15" s="37">
        <v>77235274</v>
      </c>
    </row>
    <row r="16" spans="1:5" s="81" customFormat="1" ht="21" customHeight="1" thickBot="1">
      <c r="A16" s="35" t="s">
        <v>144</v>
      </c>
      <c r="B16" s="36"/>
      <c r="C16" s="37">
        <f>SUM(C7:C8)</f>
        <v>10664955.939999999</v>
      </c>
      <c r="D16" s="36"/>
      <c r="E16" s="37">
        <f>SUM(E7:E8)</f>
        <v>16969465</v>
      </c>
    </row>
    <row r="17" spans="1:5" s="81" customFormat="1" ht="21" customHeight="1" thickBot="1">
      <c r="A17" s="52" t="s">
        <v>92</v>
      </c>
      <c r="B17" s="34"/>
      <c r="C17" s="82">
        <f>SUM(C15:C16)</f>
        <v>67166046</v>
      </c>
      <c r="D17" s="42"/>
      <c r="E17" s="82">
        <f>SUM(E15:E16)</f>
        <v>94204739</v>
      </c>
    </row>
    <row r="18" spans="1:5" ht="21" customHeight="1" thickTop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C19" sqref="C19"/>
    </sheetView>
  </sheetViews>
  <sheetFormatPr defaultRowHeight="22.5" customHeight="1"/>
  <cols>
    <col min="1" max="1" width="31" customWidth="1"/>
    <col min="2" max="2" width="2.42578125" customWidth="1"/>
    <col min="3" max="3" width="10.7109375" customWidth="1"/>
    <col min="4" max="4" width="2.42578125" customWidth="1"/>
    <col min="5" max="5" width="11.140625" customWidth="1"/>
  </cols>
  <sheetData>
    <row r="3" spans="1:5" ht="22.5" customHeight="1" thickBot="1">
      <c r="A3" s="74"/>
      <c r="B3" s="74"/>
      <c r="C3" s="46">
        <v>2012</v>
      </c>
      <c r="D3" s="45"/>
      <c r="E3" s="46">
        <v>2011</v>
      </c>
    </row>
    <row r="4" spans="1:5" ht="22.5" customHeight="1">
      <c r="A4" s="49"/>
      <c r="B4" s="76"/>
      <c r="C4" s="50"/>
      <c r="D4" s="50"/>
      <c r="E4" s="50"/>
    </row>
    <row r="5" spans="1:5" ht="22.5" customHeight="1">
      <c r="A5" s="49" t="s">
        <v>145</v>
      </c>
      <c r="B5" s="76"/>
      <c r="C5" s="51">
        <v>2000000</v>
      </c>
      <c r="D5" s="50"/>
      <c r="E5" s="51">
        <v>2000000</v>
      </c>
    </row>
    <row r="6" spans="1:5" ht="22.5" customHeight="1">
      <c r="A6" s="49" t="s">
        <v>23</v>
      </c>
      <c r="B6" s="76"/>
      <c r="C6" s="51">
        <v>1799159</v>
      </c>
      <c r="D6" s="50"/>
      <c r="E6" s="51">
        <v>1799159</v>
      </c>
    </row>
    <row r="7" spans="1:5" ht="22.5" customHeight="1" thickBot="1">
      <c r="A7" s="49" t="s">
        <v>146</v>
      </c>
      <c r="B7" s="76"/>
      <c r="C7" s="51">
        <f>-1306447.7-2076622</f>
        <v>-3383069.7</v>
      </c>
      <c r="D7" s="50"/>
      <c r="E7" s="51">
        <f>-848460-1137924</f>
        <v>-1986384</v>
      </c>
    </row>
    <row r="8" spans="1:5" ht="22.5" customHeight="1" thickBot="1">
      <c r="A8" s="52" t="s">
        <v>92</v>
      </c>
      <c r="B8" s="45"/>
      <c r="C8" s="83">
        <f>SUM(C5:C7)</f>
        <v>416089.29999999981</v>
      </c>
      <c r="D8" s="45"/>
      <c r="E8" s="83">
        <f>SUM(E5:E7)</f>
        <v>1812775</v>
      </c>
    </row>
    <row r="9" spans="1:5" ht="22.5" customHeight="1" thickTop="1"/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B3:F21"/>
  <sheetViews>
    <sheetView topLeftCell="A2" workbookViewId="0">
      <selection activeCell="C19" sqref="C19"/>
    </sheetView>
  </sheetViews>
  <sheetFormatPr defaultRowHeight="20.25" customHeight="1"/>
  <cols>
    <col min="2" max="2" width="32.140625" customWidth="1"/>
    <col min="3" max="3" width="2.5703125" customWidth="1"/>
    <col min="4" max="4" width="12.5703125" bestFit="1" customWidth="1"/>
    <col min="5" max="5" width="2.7109375" customWidth="1"/>
    <col min="6" max="6" width="12" bestFit="1" customWidth="1"/>
  </cols>
  <sheetData>
    <row r="3" spans="2:6" ht="20.25" customHeight="1" thickBot="1">
      <c r="B3" s="49"/>
      <c r="C3" s="49"/>
      <c r="D3" s="138">
        <v>2012</v>
      </c>
      <c r="E3" s="49"/>
      <c r="F3" s="138">
        <v>2011</v>
      </c>
    </row>
    <row r="4" spans="2:6" ht="20.25" customHeight="1">
      <c r="B4" s="49" t="s">
        <v>156</v>
      </c>
      <c r="C4" s="49"/>
      <c r="D4" s="135">
        <v>3926246.2</v>
      </c>
      <c r="E4" s="139"/>
      <c r="F4" s="135">
        <v>3752428</v>
      </c>
    </row>
    <row r="5" spans="2:6" ht="20.25" customHeight="1">
      <c r="B5" s="49" t="s">
        <v>157</v>
      </c>
      <c r="C5" s="49"/>
      <c r="D5" s="135">
        <v>1275402.28</v>
      </c>
      <c r="E5" s="139"/>
      <c r="F5" s="135">
        <v>1463238</v>
      </c>
    </row>
    <row r="6" spans="2:6" ht="20.25" customHeight="1" thickBot="1">
      <c r="B6" s="49" t="s">
        <v>158</v>
      </c>
      <c r="C6" s="49"/>
      <c r="D6" s="135">
        <v>1164745.22</v>
      </c>
      <c r="E6" s="139"/>
      <c r="F6" s="135">
        <v>1253444</v>
      </c>
    </row>
    <row r="7" spans="2:6" ht="20.25" customHeight="1" thickBot="1">
      <c r="B7" s="54" t="s">
        <v>92</v>
      </c>
      <c r="C7" s="49"/>
      <c r="D7" s="140">
        <f>SUM(D4:D6)</f>
        <v>6366393.7000000002</v>
      </c>
      <c r="E7" s="139"/>
      <c r="F7" s="140">
        <f>SUM(F4:F6)</f>
        <v>6469110</v>
      </c>
    </row>
    <row r="8" spans="2:6" ht="20.25" customHeight="1" thickTop="1"/>
    <row r="10" spans="2:6" ht="20.25" customHeight="1" thickBot="1">
      <c r="B10" s="49"/>
      <c r="C10" s="49"/>
      <c r="D10" s="138">
        <v>2011</v>
      </c>
      <c r="E10" s="49"/>
      <c r="F10" s="138">
        <v>2011</v>
      </c>
    </row>
    <row r="11" spans="2:6" ht="11.25" customHeight="1">
      <c r="B11" s="49"/>
      <c r="C11" s="49"/>
      <c r="D11" s="49"/>
      <c r="E11" s="49"/>
      <c r="F11" s="49"/>
    </row>
    <row r="12" spans="2:6" ht="20.25" customHeight="1">
      <c r="B12" s="49" t="s">
        <v>164</v>
      </c>
      <c r="C12" s="49"/>
      <c r="D12" s="51">
        <v>429481.34</v>
      </c>
      <c r="E12" s="49"/>
      <c r="F12" s="51">
        <v>473645.78</v>
      </c>
    </row>
    <row r="13" spans="2:6" ht="20.25" customHeight="1">
      <c r="B13" s="49" t="s">
        <v>159</v>
      </c>
      <c r="C13" s="49"/>
      <c r="D13" s="51">
        <v>307018.69</v>
      </c>
      <c r="E13" s="49"/>
      <c r="F13" s="51">
        <v>258209.77</v>
      </c>
    </row>
    <row r="14" spans="2:6" ht="20.25" customHeight="1">
      <c r="B14" s="49" t="s">
        <v>160</v>
      </c>
      <c r="C14" s="49"/>
      <c r="D14" s="51">
        <v>58115.65</v>
      </c>
      <c r="E14" s="49"/>
      <c r="F14" s="51">
        <v>111409.17</v>
      </c>
    </row>
    <row r="15" spans="2:6" ht="20.25" customHeight="1">
      <c r="B15" s="49" t="s">
        <v>161</v>
      </c>
      <c r="C15" s="49"/>
      <c r="D15" s="51">
        <v>25676.1</v>
      </c>
      <c r="E15" s="49"/>
      <c r="F15" s="51">
        <v>71763.44</v>
      </c>
    </row>
    <row r="16" spans="2:6" ht="20.25" customHeight="1">
      <c r="B16" s="49" t="s">
        <v>162</v>
      </c>
      <c r="C16" s="49"/>
      <c r="D16" s="51">
        <v>1870013.01</v>
      </c>
      <c r="E16" s="49"/>
      <c r="F16" s="51">
        <v>1321192.6000000001</v>
      </c>
    </row>
    <row r="17" spans="2:6" ht="20.25" customHeight="1">
      <c r="B17" s="49" t="s">
        <v>163</v>
      </c>
      <c r="C17" s="49"/>
      <c r="D17" s="51">
        <f>467431.35+429606.47+33839.33+16037.02</f>
        <v>946914.16999999993</v>
      </c>
      <c r="E17" s="49"/>
      <c r="F17" s="51">
        <f>3716.64+148711.19+152688.56</f>
        <v>305116.39</v>
      </c>
    </row>
    <row r="18" spans="2:6" ht="20.25" customHeight="1" thickBot="1">
      <c r="B18" s="49" t="s">
        <v>165</v>
      </c>
      <c r="C18" s="49"/>
      <c r="D18" s="51">
        <v>1688257.57</v>
      </c>
      <c r="E18" s="49"/>
      <c r="F18" s="51">
        <v>3902549.79</v>
      </c>
    </row>
    <row r="19" spans="2:6" ht="20.25" customHeight="1" thickBot="1">
      <c r="B19" s="54" t="s">
        <v>92</v>
      </c>
      <c r="C19" s="49"/>
      <c r="D19" s="83">
        <f>SUM(D12:D18)</f>
        <v>5325476.53</v>
      </c>
      <c r="E19" s="49"/>
      <c r="F19" s="83">
        <f>SUM(F12:F18)</f>
        <v>6443886.9400000004</v>
      </c>
    </row>
    <row r="20" spans="2:6" ht="20.25" customHeight="1" thickTop="1"/>
    <row r="21" spans="2:6" ht="20.25" customHeight="1">
      <c r="D21" s="141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B5:H21"/>
  <sheetViews>
    <sheetView showGridLines="0" topLeftCell="B4" workbookViewId="0">
      <selection activeCell="C19" sqref="C19"/>
    </sheetView>
  </sheetViews>
  <sheetFormatPr defaultRowHeight="15"/>
  <cols>
    <col min="1" max="1" width="1.42578125" customWidth="1"/>
    <col min="2" max="2" width="41.28515625" customWidth="1"/>
    <col min="3" max="3" width="3.5703125" customWidth="1"/>
    <col min="4" max="4" width="15.85546875" customWidth="1"/>
    <col min="5" max="5" width="3.5703125" customWidth="1"/>
    <col min="6" max="6" width="19.140625" customWidth="1"/>
    <col min="7" max="7" width="3.140625" customWidth="1"/>
    <col min="8" max="8" width="17.28515625" customWidth="1"/>
  </cols>
  <sheetData>
    <row r="5" spans="2:8" ht="19.5" customHeight="1">
      <c r="B5" s="205" t="s">
        <v>43</v>
      </c>
      <c r="C5" s="205"/>
      <c r="D5" s="205"/>
      <c r="E5" s="205"/>
      <c r="F5" s="205"/>
      <c r="G5" s="205"/>
      <c r="H5" s="205"/>
    </row>
    <row r="6" spans="2:8" ht="20.25" customHeight="1">
      <c r="B6" s="205" t="s">
        <v>42</v>
      </c>
      <c r="C6" s="205"/>
      <c r="D6" s="205"/>
      <c r="E6" s="205"/>
      <c r="F6" s="205"/>
      <c r="G6" s="205"/>
      <c r="H6" s="205"/>
    </row>
    <row r="7" spans="2:8" ht="21" customHeight="1">
      <c r="B7" s="205" t="s">
        <v>41</v>
      </c>
      <c r="C7" s="205"/>
      <c r="D7" s="205"/>
      <c r="E7" s="205"/>
      <c r="F7" s="205"/>
      <c r="G7" s="205"/>
      <c r="H7" s="205"/>
    </row>
    <row r="8" spans="2:8" ht="21.75" customHeight="1">
      <c r="B8" s="206" t="s">
        <v>40</v>
      </c>
      <c r="C8" s="206"/>
      <c r="D8" s="206"/>
      <c r="E8" s="206"/>
      <c r="F8" s="206"/>
      <c r="G8" s="206"/>
      <c r="H8" s="206"/>
    </row>
    <row r="10" spans="2:8" ht="45">
      <c r="B10" s="12"/>
      <c r="C10" s="12"/>
      <c r="D10" s="31" t="s">
        <v>39</v>
      </c>
      <c r="E10" s="12"/>
      <c r="F10" s="30" t="s">
        <v>38</v>
      </c>
      <c r="G10" s="29"/>
      <c r="H10" s="28" t="s">
        <v>37</v>
      </c>
    </row>
    <row r="11" spans="2:8" ht="7.5" customHeight="1">
      <c r="B11" s="12"/>
      <c r="C11" s="12"/>
      <c r="D11" s="11"/>
      <c r="E11" s="12"/>
      <c r="F11" s="11"/>
      <c r="G11" s="12"/>
      <c r="H11" s="27"/>
    </row>
    <row r="12" spans="2:8" s="20" customFormat="1" ht="15.75">
      <c r="B12" s="15" t="s">
        <v>36</v>
      </c>
      <c r="C12" s="23"/>
      <c r="D12" s="26">
        <v>3799159</v>
      </c>
      <c r="E12" s="23"/>
      <c r="F12" s="26">
        <v>-1305074</v>
      </c>
      <c r="G12" s="23"/>
      <c r="H12" s="25">
        <f>D12+F12</f>
        <v>2494085</v>
      </c>
    </row>
    <row r="13" spans="2:8" ht="14.25" customHeight="1">
      <c r="B13" s="24"/>
      <c r="C13" s="12"/>
      <c r="D13" s="12"/>
      <c r="E13" s="12"/>
      <c r="F13" s="12"/>
      <c r="G13" s="12"/>
      <c r="H13" s="12"/>
    </row>
    <row r="14" spans="2:8" ht="15.75">
      <c r="B14" s="18" t="s">
        <v>35</v>
      </c>
      <c r="C14" s="12"/>
      <c r="D14" s="17"/>
      <c r="E14" s="12"/>
      <c r="F14" s="17">
        <v>456614</v>
      </c>
      <c r="G14" s="14"/>
      <c r="H14" s="17">
        <f>SUM(D14:F14)</f>
        <v>456614</v>
      </c>
    </row>
    <row r="15" spans="2:8" ht="15.75">
      <c r="B15" s="19"/>
      <c r="C15" s="12"/>
      <c r="D15" s="17"/>
      <c r="E15" s="12"/>
      <c r="F15" s="17"/>
      <c r="G15" s="14"/>
      <c r="H15" s="17"/>
    </row>
    <row r="16" spans="2:8" s="20" customFormat="1" ht="15.75">
      <c r="B16" s="15" t="s">
        <v>34</v>
      </c>
      <c r="C16" s="23"/>
      <c r="D16" s="21">
        <f>SUM(D12:D15)</f>
        <v>3799159</v>
      </c>
      <c r="E16" s="23"/>
      <c r="F16" s="21">
        <f>SUM(F12:F15)</f>
        <v>-848460</v>
      </c>
      <c r="G16" s="22"/>
      <c r="H16" s="21">
        <f>SUM(H12:H15)</f>
        <v>2950699</v>
      </c>
    </row>
    <row r="17" spans="2:8" ht="15.75">
      <c r="B17" s="19"/>
      <c r="C17" s="12"/>
      <c r="D17" s="17"/>
      <c r="E17" s="12"/>
      <c r="F17" s="17"/>
      <c r="G17" s="14"/>
      <c r="H17" s="17"/>
    </row>
    <row r="18" spans="2:8" ht="15.75">
      <c r="B18" s="18" t="s">
        <v>33</v>
      </c>
      <c r="C18" s="12"/>
      <c r="D18" s="17"/>
      <c r="E18" s="12"/>
      <c r="F18" s="17">
        <v>-457987</v>
      </c>
      <c r="G18" s="14"/>
      <c r="H18" s="17">
        <f>SUM(D18:F18)</f>
        <v>-457987</v>
      </c>
    </row>
    <row r="19" spans="2:8" ht="15.75">
      <c r="B19" s="12"/>
      <c r="C19" s="12"/>
      <c r="D19" s="16"/>
      <c r="E19" s="12"/>
      <c r="F19" s="16"/>
      <c r="G19" s="14"/>
      <c r="H19" s="16"/>
    </row>
    <row r="20" spans="2:8" ht="15.75">
      <c r="B20" s="15" t="s">
        <v>32</v>
      </c>
      <c r="C20" s="12"/>
      <c r="D20" s="13">
        <f>SUM(D14:D19)</f>
        <v>3799159</v>
      </c>
      <c r="E20" s="12"/>
      <c r="F20" s="13">
        <f>SUM(F16:F19)</f>
        <v>-1306447</v>
      </c>
      <c r="G20" s="14"/>
      <c r="H20" s="13">
        <f>SUM(H16:H19)</f>
        <v>2492712</v>
      </c>
    </row>
    <row r="21" spans="2:8" ht="15.75">
      <c r="B21" s="12"/>
      <c r="C21" s="12"/>
      <c r="D21" s="11"/>
      <c r="E21" s="12"/>
      <c r="F21" s="11"/>
      <c r="G21" s="12"/>
      <c r="H21" s="11"/>
    </row>
  </sheetData>
  <mergeCells count="4">
    <mergeCell ref="B5:H5"/>
    <mergeCell ref="B6:H6"/>
    <mergeCell ref="B7:H7"/>
    <mergeCell ref="B8:H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topLeftCell="A7" workbookViewId="0">
      <selection activeCell="G22" sqref="G22"/>
    </sheetView>
  </sheetViews>
  <sheetFormatPr defaultRowHeight="15"/>
  <cols>
    <col min="1" max="1" width="2.140625" customWidth="1"/>
    <col min="2" max="2" width="47.28515625" customWidth="1"/>
    <col min="3" max="3" width="3.28515625" customWidth="1"/>
    <col min="4" max="4" width="18.5703125" customWidth="1"/>
    <col min="5" max="5" width="3.42578125" customWidth="1"/>
    <col min="6" max="6" width="19.5703125" customWidth="1"/>
    <col min="9" max="9" width="9.7109375" bestFit="1" customWidth="1"/>
  </cols>
  <sheetData>
    <row r="1" spans="2:7">
      <c r="B1" s="199" t="s">
        <v>0</v>
      </c>
      <c r="C1" s="199"/>
      <c r="D1" s="199"/>
      <c r="E1" s="199"/>
      <c r="F1" s="199"/>
    </row>
    <row r="2" spans="2:7">
      <c r="B2" s="201" t="s">
        <v>185</v>
      </c>
      <c r="C2" s="201"/>
      <c r="D2" s="201"/>
      <c r="E2" s="201"/>
      <c r="F2" s="201"/>
      <c r="G2" s="164"/>
    </row>
    <row r="3" spans="2:7" ht="15.75" thickBot="1">
      <c r="B3" s="200" t="s">
        <v>1</v>
      </c>
      <c r="C3" s="200"/>
      <c r="D3" s="200"/>
      <c r="E3" s="200"/>
      <c r="F3" s="200"/>
    </row>
    <row r="5" spans="2:7" ht="15.75" thickBot="1">
      <c r="B5" s="2" t="s">
        <v>16</v>
      </c>
      <c r="D5" s="3">
        <v>2015</v>
      </c>
      <c r="F5" s="3">
        <v>2014</v>
      </c>
    </row>
    <row r="7" spans="2:7">
      <c r="B7" s="1" t="s">
        <v>3</v>
      </c>
    </row>
    <row r="8" spans="2:7">
      <c r="B8" s="4" t="s">
        <v>17</v>
      </c>
      <c r="D8" s="5">
        <v>5786669</v>
      </c>
      <c r="F8" s="5">
        <v>5077199</v>
      </c>
    </row>
    <row r="9" spans="2:7">
      <c r="B9" s="4" t="s">
        <v>19</v>
      </c>
      <c r="D9" s="5">
        <v>6366786</v>
      </c>
      <c r="F9" s="5">
        <v>7598667</v>
      </c>
    </row>
    <row r="10" spans="2:7">
      <c r="B10" s="4" t="s">
        <v>18</v>
      </c>
      <c r="D10" s="5">
        <v>61280829</v>
      </c>
      <c r="F10" s="5">
        <v>54469416</v>
      </c>
    </row>
    <row r="11" spans="2:7">
      <c r="B11" s="4" t="s">
        <v>20</v>
      </c>
      <c r="D11" s="5">
        <v>38587754</v>
      </c>
      <c r="F11" s="5">
        <v>54659476</v>
      </c>
    </row>
    <row r="12" spans="2:7">
      <c r="B12" s="4" t="s">
        <v>21</v>
      </c>
      <c r="D12" s="5">
        <f>148147.33</f>
        <v>148147.32999999999</v>
      </c>
      <c r="F12" s="5">
        <v>229446</v>
      </c>
    </row>
    <row r="13" spans="2:7" ht="15.75" thickBot="1">
      <c r="B13" s="4"/>
      <c r="D13" s="5"/>
      <c r="F13" s="5"/>
    </row>
    <row r="14" spans="2:7" ht="15.75" thickBot="1">
      <c r="B14" s="1" t="s">
        <v>10</v>
      </c>
      <c r="D14" s="6">
        <f>SUM(D8:D13)</f>
        <v>112170185.33</v>
      </c>
      <c r="F14" s="6">
        <f>SUM(F8:F13)</f>
        <v>122034204</v>
      </c>
    </row>
    <row r="15" spans="2:7">
      <c r="D15" s="44"/>
      <c r="F15" s="44"/>
    </row>
    <row r="16" spans="2:7">
      <c r="B16" s="1" t="s">
        <v>11</v>
      </c>
      <c r="D16" s="44"/>
      <c r="F16" s="44"/>
    </row>
    <row r="17" spans="2:9">
      <c r="B17" s="4" t="s">
        <v>24</v>
      </c>
      <c r="D17" s="5">
        <v>7904316.79</v>
      </c>
      <c r="F17" s="5">
        <v>7248867</v>
      </c>
    </row>
    <row r="18" spans="2:9" ht="15.75" thickBot="1">
      <c r="B18" s="4" t="s">
        <v>195</v>
      </c>
      <c r="D18" s="5">
        <v>20782</v>
      </c>
      <c r="F18" s="5"/>
    </row>
    <row r="19" spans="2:9" ht="15.75" thickBot="1">
      <c r="B19" s="1" t="s">
        <v>14</v>
      </c>
      <c r="D19" s="6">
        <f>SUM(D17:D18)</f>
        <v>7925098.79</v>
      </c>
      <c r="F19" s="6">
        <f>SUM(F17:F17)</f>
        <v>7248867</v>
      </c>
    </row>
    <row r="20" spans="2:9">
      <c r="B20" s="1"/>
      <c r="D20" s="9"/>
      <c r="F20" s="9"/>
    </row>
    <row r="21" spans="2:9">
      <c r="B21" s="1" t="s">
        <v>22</v>
      </c>
      <c r="D21" s="44"/>
      <c r="F21" s="44"/>
    </row>
    <row r="22" spans="2:9">
      <c r="B22" s="163" t="s">
        <v>23</v>
      </c>
      <c r="D22" s="5">
        <f>2000000+4238352.55</f>
        <v>6238352.5499999998</v>
      </c>
      <c r="F22" s="5">
        <v>6238353</v>
      </c>
    </row>
    <row r="23" spans="2:9" ht="15.75" thickBot="1">
      <c r="B23" s="4" t="s">
        <v>182</v>
      </c>
      <c r="D23" s="173">
        <v>-667987</v>
      </c>
      <c r="E23" s="172"/>
      <c r="F23" s="173">
        <v>-1392531</v>
      </c>
      <c r="I23" s="141"/>
    </row>
    <row r="24" spans="2:9" ht="15.75" thickBot="1">
      <c r="B24" s="196" t="s">
        <v>196</v>
      </c>
      <c r="D24" s="6">
        <f>SUM(D22:D23)</f>
        <v>5570365.5499999998</v>
      </c>
      <c r="F24" s="6">
        <f>SUM(F22:F23)</f>
        <v>4845822</v>
      </c>
    </row>
    <row r="25" spans="2:9">
      <c r="D25" s="44"/>
      <c r="F25" s="44"/>
    </row>
    <row r="26" spans="2:9" ht="30.75" thickBot="1">
      <c r="B26" s="197" t="s">
        <v>197</v>
      </c>
      <c r="D26" s="8">
        <f>SUM(D19,D14,D24)</f>
        <v>125665649.67</v>
      </c>
      <c r="F26" s="8">
        <f>SUM(F19,F14,F24)</f>
        <v>134128893</v>
      </c>
    </row>
    <row r="27" spans="2:9" ht="15.75" thickTop="1">
      <c r="F27" s="44"/>
    </row>
  </sheetData>
  <mergeCells count="3">
    <mergeCell ref="B1:F1"/>
    <mergeCell ref="B2:F2"/>
    <mergeCell ref="B3:F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9"/>
  <sheetViews>
    <sheetView topLeftCell="A22" workbookViewId="0">
      <selection activeCell="G39" sqref="G39"/>
    </sheetView>
  </sheetViews>
  <sheetFormatPr defaultRowHeight="15"/>
  <cols>
    <col min="1" max="1" width="1.85546875" customWidth="1"/>
    <col min="2" max="2" width="51.28515625" customWidth="1"/>
    <col min="3" max="3" width="3" customWidth="1"/>
    <col min="4" max="4" width="19.85546875" style="118" customWidth="1"/>
    <col min="5" max="5" width="2.7109375" customWidth="1"/>
    <col min="6" max="6" width="18.42578125" customWidth="1"/>
    <col min="7" max="7" width="5.28515625" customWidth="1"/>
  </cols>
  <sheetData>
    <row r="1" spans="2:7">
      <c r="B1" s="199" t="s">
        <v>0</v>
      </c>
      <c r="C1" s="199"/>
      <c r="D1" s="199"/>
      <c r="E1" s="199"/>
      <c r="F1" s="199"/>
      <c r="G1" s="199"/>
    </row>
    <row r="2" spans="2:7">
      <c r="B2" s="199" t="s">
        <v>28</v>
      </c>
      <c r="C2" s="199"/>
      <c r="D2" s="199"/>
      <c r="E2" s="199"/>
      <c r="F2" s="199"/>
      <c r="G2" s="199"/>
    </row>
    <row r="3" spans="2:7">
      <c r="B3" s="192" t="s">
        <v>189</v>
      </c>
      <c r="C3" s="1"/>
      <c r="D3" s="116"/>
      <c r="E3" s="1"/>
      <c r="F3" s="1"/>
      <c r="G3" s="1"/>
    </row>
    <row r="4" spans="2:7" ht="15.75" thickBot="1">
      <c r="B4" s="200" t="s">
        <v>1</v>
      </c>
      <c r="C4" s="200"/>
      <c r="D4" s="200"/>
      <c r="E4" s="200"/>
      <c r="F4" s="200"/>
      <c r="G4" s="200"/>
    </row>
    <row r="6" spans="2:7" ht="15.75" thickBot="1">
      <c r="B6" s="2" t="s">
        <v>28</v>
      </c>
      <c r="D6" s="117">
        <v>2015</v>
      </c>
      <c r="F6" s="117">
        <v>2014</v>
      </c>
    </row>
    <row r="7" spans="2:7">
      <c r="F7" s="118"/>
    </row>
    <row r="8" spans="2:7">
      <c r="B8" s="1" t="s">
        <v>25</v>
      </c>
    </row>
    <row r="9" spans="2:7">
      <c r="B9" s="169"/>
      <c r="D9" s="175"/>
      <c r="E9" s="175"/>
      <c r="F9" s="175"/>
    </row>
    <row r="10" spans="2:7">
      <c r="B10" s="174" t="s">
        <v>183</v>
      </c>
      <c r="D10" s="175"/>
      <c r="E10" s="175"/>
      <c r="F10" s="175"/>
    </row>
    <row r="11" spans="2:7">
      <c r="B11" s="4" t="s">
        <v>27</v>
      </c>
      <c r="D11" s="173">
        <v>5514678</v>
      </c>
      <c r="E11" s="175"/>
      <c r="F11" s="173">
        <v>8663138</v>
      </c>
    </row>
    <row r="12" spans="2:7">
      <c r="B12" s="4" t="s">
        <v>187</v>
      </c>
      <c r="D12" s="173">
        <v>257067</v>
      </c>
      <c r="E12" s="175"/>
      <c r="F12" s="173">
        <v>330616</v>
      </c>
    </row>
    <row r="13" spans="2:7">
      <c r="B13" s="4" t="s">
        <v>188</v>
      </c>
      <c r="D13" s="173">
        <v>563271.18000000005</v>
      </c>
      <c r="E13" s="175"/>
      <c r="F13" s="173">
        <v>180392</v>
      </c>
    </row>
    <row r="14" spans="2:7">
      <c r="B14" s="4" t="s">
        <v>29</v>
      </c>
      <c r="D14" s="173">
        <v>1038277</v>
      </c>
      <c r="E14" s="175"/>
      <c r="F14" s="173">
        <v>278862</v>
      </c>
    </row>
    <row r="15" spans="2:7" ht="8.25" customHeight="1" thickBot="1">
      <c r="B15" s="4"/>
      <c r="D15" s="173"/>
      <c r="E15" s="175"/>
      <c r="F15" s="173"/>
    </row>
    <row r="16" spans="2:7" ht="15.75" thickBot="1">
      <c r="B16" s="1" t="s">
        <v>26</v>
      </c>
      <c r="D16" s="176">
        <f>SUM(D11:D14)</f>
        <v>7373293.1799999997</v>
      </c>
      <c r="E16" s="175"/>
      <c r="F16" s="176">
        <f>SUM(F9:F14)</f>
        <v>9453008</v>
      </c>
    </row>
    <row r="17" spans="2:6">
      <c r="D17" s="114"/>
      <c r="F17" s="114"/>
    </row>
    <row r="18" spans="2:6">
      <c r="B18" s="1" t="s">
        <v>30</v>
      </c>
      <c r="D18" s="114"/>
      <c r="F18" s="114"/>
    </row>
    <row r="20" spans="2:6">
      <c r="B20" s="169"/>
      <c r="D20" s="173"/>
      <c r="E20" s="173"/>
      <c r="F20" s="173"/>
    </row>
    <row r="21" spans="2:6">
      <c r="B21" s="174" t="s">
        <v>183</v>
      </c>
      <c r="D21" s="173"/>
      <c r="E21" s="173"/>
      <c r="F21" s="173"/>
    </row>
    <row r="22" spans="2:6">
      <c r="B22" s="4" t="s">
        <v>190</v>
      </c>
      <c r="D22" s="173">
        <v>-5847217</v>
      </c>
      <c r="E22" s="173"/>
      <c r="F22" s="173">
        <v>-5358739</v>
      </c>
    </row>
    <row r="23" spans="2:6">
      <c r="B23" s="4" t="s">
        <v>191</v>
      </c>
      <c r="D23" s="173">
        <v>-3966850</v>
      </c>
      <c r="E23" s="173"/>
      <c r="F23" s="173">
        <v>-4524639</v>
      </c>
    </row>
    <row r="24" spans="2:6">
      <c r="B24" s="4" t="s">
        <v>192</v>
      </c>
      <c r="D24" s="173">
        <v>-267030</v>
      </c>
      <c r="E24" s="173"/>
      <c r="F24" s="173">
        <v>-330616</v>
      </c>
    </row>
    <row r="25" spans="2:6">
      <c r="B25" s="4" t="s">
        <v>31</v>
      </c>
      <c r="D25" s="173">
        <v>-140485</v>
      </c>
      <c r="E25" s="173"/>
      <c r="F25" s="173">
        <v>-179086</v>
      </c>
    </row>
    <row r="26" spans="2:6">
      <c r="B26" s="4" t="s">
        <v>184</v>
      </c>
      <c r="D26" s="173">
        <v>4353170</v>
      </c>
      <c r="E26" s="173"/>
      <c r="F26" s="173">
        <v>4049684</v>
      </c>
    </row>
    <row r="27" spans="2:6">
      <c r="B27" s="4" t="s">
        <v>193</v>
      </c>
      <c r="D27" s="173">
        <v>-123967</v>
      </c>
      <c r="E27" s="173"/>
      <c r="F27" s="173">
        <v>-239123</v>
      </c>
    </row>
    <row r="28" spans="2:6">
      <c r="B28" s="4" t="s">
        <v>200</v>
      </c>
      <c r="D28" s="173">
        <v>-919</v>
      </c>
      <c r="E28" s="173"/>
      <c r="F28" s="173">
        <v>-3400</v>
      </c>
    </row>
    <row r="29" spans="2:6">
      <c r="B29" s="4" t="s">
        <v>201</v>
      </c>
      <c r="D29" s="173">
        <v>-655451</v>
      </c>
      <c r="E29" s="173"/>
      <c r="F29" s="173">
        <v>-233263</v>
      </c>
    </row>
    <row r="30" spans="2:6" ht="15.75" thickBot="1">
      <c r="B30" s="4"/>
      <c r="D30" s="173"/>
      <c r="E30" s="175"/>
      <c r="F30" s="173"/>
    </row>
    <row r="31" spans="2:6" ht="15.75" thickBot="1">
      <c r="B31" s="1" t="s">
        <v>26</v>
      </c>
      <c r="D31" s="176">
        <f>SUM(D22:D29)</f>
        <v>-6648749</v>
      </c>
      <c r="E31" s="175"/>
      <c r="F31" s="176">
        <f>SUM(F22:F29)</f>
        <v>-6819182</v>
      </c>
    </row>
    <row r="32" spans="2:6">
      <c r="B32" s="196"/>
      <c r="D32" s="198"/>
      <c r="E32" s="175"/>
      <c r="F32" s="198"/>
    </row>
    <row r="33" spans="2:6">
      <c r="B33" s="4" t="s">
        <v>199</v>
      </c>
      <c r="D33" s="173">
        <v>171656055.61000001</v>
      </c>
      <c r="E33" s="175"/>
      <c r="F33" s="173">
        <v>159907962</v>
      </c>
    </row>
    <row r="34" spans="2:6">
      <c r="B34" s="4" t="s">
        <v>198</v>
      </c>
      <c r="D34" s="173">
        <v>-171656055.61000001</v>
      </c>
      <c r="E34" s="173"/>
      <c r="F34" s="173">
        <v>-159907962</v>
      </c>
    </row>
    <row r="35" spans="2:6">
      <c r="D35" s="170"/>
      <c r="E35" s="170"/>
      <c r="F35" s="170"/>
    </row>
    <row r="36" spans="2:6" ht="15.75" thickBot="1">
      <c r="B36" s="10" t="s">
        <v>202</v>
      </c>
      <c r="D36" s="177">
        <f>D16+D31</f>
        <v>724544.1799999997</v>
      </c>
      <c r="E36" s="175"/>
      <c r="F36" s="177">
        <f>F16+F31</f>
        <v>2633826</v>
      </c>
    </row>
    <row r="37" spans="2:6" ht="15.75" thickTop="1"/>
    <row r="38" spans="2:6">
      <c r="B38" s="20"/>
      <c r="D38" s="193"/>
    </row>
    <row r="39" spans="2:6">
      <c r="D39" s="171"/>
      <c r="E39" s="171"/>
      <c r="F39" s="171"/>
    </row>
  </sheetData>
  <mergeCells count="3">
    <mergeCell ref="B1:G1"/>
    <mergeCell ref="B2:G2"/>
    <mergeCell ref="B4:G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H21"/>
  <sheetViews>
    <sheetView showGridLines="0" topLeftCell="A4" workbookViewId="0">
      <selection activeCell="I22" sqref="I22"/>
    </sheetView>
  </sheetViews>
  <sheetFormatPr defaultRowHeight="15"/>
  <cols>
    <col min="1" max="1" width="1.42578125" style="88" customWidth="1"/>
    <col min="2" max="2" width="56.7109375" style="88" customWidth="1"/>
    <col min="3" max="3" width="1.5703125" style="88" customWidth="1"/>
    <col min="4" max="4" width="15.42578125" style="88" customWidth="1"/>
    <col min="5" max="5" width="2.140625" style="88" customWidth="1"/>
    <col min="6" max="6" width="17.5703125" style="88" bestFit="1" customWidth="1"/>
    <col min="7" max="7" width="1.7109375" style="88" customWidth="1"/>
    <col min="8" max="8" width="17.5703125" style="88" bestFit="1" customWidth="1"/>
    <col min="9" max="16384" width="9.140625" style="88"/>
  </cols>
  <sheetData>
    <row r="5" spans="2:8" ht="19.5" customHeight="1">
      <c r="B5" s="202" t="s">
        <v>43</v>
      </c>
      <c r="C5" s="202"/>
      <c r="D5" s="202"/>
      <c r="E5" s="202"/>
      <c r="F5" s="202"/>
      <c r="G5" s="202"/>
      <c r="H5" s="202"/>
    </row>
    <row r="6" spans="2:8" ht="20.25" customHeight="1">
      <c r="B6" s="202" t="s">
        <v>42</v>
      </c>
      <c r="C6" s="202"/>
      <c r="D6" s="202"/>
      <c r="E6" s="202"/>
      <c r="F6" s="202"/>
      <c r="G6" s="202"/>
      <c r="H6" s="202"/>
    </row>
    <row r="7" spans="2:8" ht="21" customHeight="1">
      <c r="B7" s="202" t="s">
        <v>189</v>
      </c>
      <c r="C7" s="202"/>
      <c r="D7" s="202"/>
      <c r="E7" s="202"/>
      <c r="F7" s="202"/>
      <c r="G7" s="202"/>
      <c r="H7" s="202"/>
    </row>
    <row r="8" spans="2:8" ht="21.75" customHeight="1">
      <c r="B8" s="202" t="s">
        <v>40</v>
      </c>
      <c r="C8" s="202"/>
      <c r="D8" s="202"/>
      <c r="E8" s="202"/>
      <c r="F8" s="202"/>
      <c r="G8" s="202"/>
      <c r="H8" s="202"/>
    </row>
    <row r="10" spans="2:8" ht="45">
      <c r="B10" s="89"/>
      <c r="C10" s="89"/>
      <c r="D10" s="90" t="s">
        <v>39</v>
      </c>
      <c r="E10" s="89"/>
      <c r="F10" s="84" t="s">
        <v>203</v>
      </c>
      <c r="G10" s="91"/>
      <c r="H10" s="92" t="s">
        <v>37</v>
      </c>
    </row>
    <row r="11" spans="2:8" ht="7.5" customHeight="1">
      <c r="B11" s="89"/>
      <c r="C11" s="89"/>
      <c r="D11" s="93"/>
      <c r="E11" s="89"/>
      <c r="F11" s="93"/>
      <c r="G11" s="89"/>
      <c r="H11" s="94"/>
    </row>
    <row r="12" spans="2:8" s="96" customFormat="1" ht="15.75">
      <c r="B12" s="168" t="s">
        <v>175</v>
      </c>
      <c r="C12" s="95"/>
      <c r="D12" s="142">
        <f>2000000+4238352.55</f>
        <v>6238352.5499999998</v>
      </c>
      <c r="E12" s="143"/>
      <c r="F12" s="142">
        <f>-3651421.91-374934.87</f>
        <v>-4026356.7800000003</v>
      </c>
      <c r="G12" s="143"/>
      <c r="H12" s="144">
        <f>SUM(D12:F12)</f>
        <v>2211995.7699999996</v>
      </c>
    </row>
    <row r="13" spans="2:8" ht="14.25" customHeight="1">
      <c r="B13" s="97"/>
      <c r="C13" s="89"/>
      <c r="D13" s="145"/>
      <c r="E13" s="145"/>
      <c r="F13" s="145"/>
      <c r="G13" s="145"/>
      <c r="H13" s="145"/>
    </row>
    <row r="14" spans="2:8" ht="15.75">
      <c r="B14" s="98" t="s">
        <v>35</v>
      </c>
      <c r="C14" s="89"/>
      <c r="D14" s="146"/>
      <c r="E14" s="145"/>
      <c r="F14" s="146">
        <v>2633825.85</v>
      </c>
      <c r="G14" s="146"/>
      <c r="H14" s="146">
        <f>SUM(D14:F14)</f>
        <v>2633825.85</v>
      </c>
    </row>
    <row r="15" spans="2:8" ht="15.75">
      <c r="B15" s="98"/>
      <c r="C15" s="89"/>
      <c r="D15" s="146"/>
      <c r="E15" s="145"/>
      <c r="F15" s="146"/>
      <c r="G15" s="146"/>
      <c r="H15" s="146"/>
    </row>
    <row r="16" spans="2:8" s="96" customFormat="1" ht="15.75">
      <c r="B16" s="168" t="s">
        <v>177</v>
      </c>
      <c r="C16" s="95"/>
      <c r="D16" s="142">
        <f>2000000+4238352.55</f>
        <v>6238352.5499999998</v>
      </c>
      <c r="E16" s="143"/>
      <c r="F16" s="147">
        <f>SUM(F12:F15)</f>
        <v>-1392530.9300000002</v>
      </c>
      <c r="G16" s="148"/>
      <c r="H16" s="147">
        <f>SUM(H12:H15)</f>
        <v>4845821.6199999992</v>
      </c>
    </row>
    <row r="17" spans="2:8" ht="15.75">
      <c r="B17" s="98"/>
      <c r="C17" s="89"/>
      <c r="D17" s="146"/>
      <c r="E17" s="145"/>
      <c r="F17" s="146"/>
      <c r="G17" s="146"/>
      <c r="H17" s="146"/>
    </row>
    <row r="18" spans="2:8" ht="15.75">
      <c r="B18" s="98" t="s">
        <v>35</v>
      </c>
      <c r="C18" s="89"/>
      <c r="D18" s="146"/>
      <c r="E18" s="145"/>
      <c r="F18" s="146">
        <v>724544</v>
      </c>
      <c r="G18" s="146"/>
      <c r="H18" s="146">
        <f>SUM(D18:F18)</f>
        <v>724544</v>
      </c>
    </row>
    <row r="19" spans="2:8" ht="15.75">
      <c r="B19" s="89"/>
      <c r="C19" s="89"/>
      <c r="D19" s="149"/>
      <c r="E19" s="145"/>
      <c r="F19" s="149"/>
      <c r="G19" s="146"/>
      <c r="H19" s="149"/>
    </row>
    <row r="20" spans="2:8" ht="15.75">
      <c r="B20" s="168" t="s">
        <v>194</v>
      </c>
      <c r="C20" s="89"/>
      <c r="D20" s="142">
        <f>2000000+4238352.55</f>
        <v>6238352.5499999998</v>
      </c>
      <c r="E20" s="145"/>
      <c r="F20" s="150">
        <f>SUM(F16:F19)</f>
        <v>-667986.93000000017</v>
      </c>
      <c r="G20" s="146"/>
      <c r="H20" s="150">
        <f>SUM(H16:H19)</f>
        <v>5570365.6199999992</v>
      </c>
    </row>
    <row r="21" spans="2:8" ht="15.75">
      <c r="B21" s="89"/>
      <c r="C21" s="89"/>
      <c r="D21" s="93"/>
      <c r="E21" s="89"/>
      <c r="F21" s="93"/>
      <c r="G21" s="89"/>
      <c r="H21" s="93"/>
    </row>
  </sheetData>
  <mergeCells count="4">
    <mergeCell ref="B5:H5"/>
    <mergeCell ref="B6:H6"/>
    <mergeCell ref="B7:H7"/>
    <mergeCell ref="B8:H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G54"/>
  <sheetViews>
    <sheetView showGridLines="0" topLeftCell="A37" workbookViewId="0">
      <selection activeCell="M56" sqref="M56"/>
    </sheetView>
  </sheetViews>
  <sheetFormatPr defaultRowHeight="14.25"/>
  <cols>
    <col min="1" max="1" width="1.42578125" style="7" customWidth="1"/>
    <col min="2" max="2" width="56.85546875" style="7" customWidth="1"/>
    <col min="3" max="3" width="3.5703125" style="7" customWidth="1"/>
    <col min="4" max="4" width="16.28515625" style="119" bestFit="1" customWidth="1"/>
    <col min="5" max="5" width="3.42578125" style="110" customWidth="1"/>
    <col min="6" max="6" width="15.7109375" style="122" bestFit="1" customWidth="1"/>
    <col min="7" max="7" width="3.140625" style="7" customWidth="1"/>
    <col min="8" max="16384" width="9.140625" style="7"/>
  </cols>
  <sheetData>
    <row r="5" spans="2:7" ht="19.5" customHeight="1">
      <c r="B5" s="202" t="s">
        <v>43</v>
      </c>
      <c r="C5" s="202"/>
      <c r="D5" s="202"/>
      <c r="E5" s="202"/>
      <c r="F5" s="202"/>
      <c r="G5" s="202"/>
    </row>
    <row r="6" spans="2:7" ht="20.25" customHeight="1">
      <c r="B6" s="202" t="s">
        <v>44</v>
      </c>
      <c r="C6" s="202"/>
      <c r="D6" s="202"/>
      <c r="E6" s="202"/>
      <c r="F6" s="202"/>
      <c r="G6" s="202"/>
    </row>
    <row r="7" spans="2:7" ht="21" customHeight="1">
      <c r="B7" s="202" t="s">
        <v>189</v>
      </c>
      <c r="C7" s="202"/>
      <c r="D7" s="202"/>
      <c r="E7" s="202"/>
      <c r="F7" s="202"/>
      <c r="G7" s="202"/>
    </row>
    <row r="8" spans="2:7" ht="21.75" customHeight="1">
      <c r="B8" s="202" t="s">
        <v>40</v>
      </c>
      <c r="C8" s="202"/>
      <c r="D8" s="202"/>
      <c r="E8" s="202"/>
      <c r="F8" s="202"/>
      <c r="G8" s="202"/>
    </row>
    <row r="9" spans="2:7">
      <c r="B9" s="86"/>
      <c r="C9" s="86"/>
      <c r="E9" s="108"/>
      <c r="G9" s="86"/>
    </row>
    <row r="10" spans="2:7" ht="15">
      <c r="B10" s="85"/>
      <c r="C10" s="85"/>
      <c r="D10" s="111">
        <v>2015</v>
      </c>
      <c r="E10" s="112"/>
      <c r="F10" s="111">
        <v>2014</v>
      </c>
      <c r="G10" s="99"/>
    </row>
    <row r="11" spans="2:7" ht="7.5" customHeight="1">
      <c r="B11" s="85"/>
      <c r="C11" s="85"/>
      <c r="D11" s="120"/>
      <c r="E11" s="109"/>
      <c r="F11" s="120"/>
      <c r="G11" s="85"/>
    </row>
    <row r="12" spans="2:7" ht="15">
      <c r="B12" s="100" t="s">
        <v>45</v>
      </c>
      <c r="C12" s="85"/>
      <c r="D12" s="121"/>
      <c r="E12" s="109"/>
      <c r="F12" s="121"/>
      <c r="G12" s="85"/>
    </row>
    <row r="13" spans="2:7" ht="6" customHeight="1">
      <c r="B13" s="101"/>
      <c r="C13" s="85"/>
      <c r="D13" s="121"/>
      <c r="E13" s="109"/>
      <c r="F13" s="121"/>
      <c r="G13" s="85"/>
    </row>
    <row r="14" spans="2:7" ht="15">
      <c r="B14" s="100" t="s">
        <v>46</v>
      </c>
      <c r="C14" s="85"/>
      <c r="D14" s="178">
        <f>DRE!D36</f>
        <v>724544.1799999997</v>
      </c>
      <c r="E14" s="179"/>
      <c r="F14" s="178">
        <f>DRE!F36</f>
        <v>2633826</v>
      </c>
      <c r="G14" s="102"/>
    </row>
    <row r="15" spans="2:7" ht="28.5">
      <c r="B15" s="103" t="s">
        <v>47</v>
      </c>
      <c r="C15" s="85"/>
      <c r="D15" s="180"/>
      <c r="E15" s="179"/>
      <c r="F15" s="180"/>
      <c r="G15" s="102"/>
    </row>
    <row r="16" spans="2:7">
      <c r="B16" s="104" t="s">
        <v>48</v>
      </c>
      <c r="C16" s="85"/>
      <c r="D16" s="180">
        <f>-DRE!D25</f>
        <v>140485</v>
      </c>
      <c r="E16" s="179"/>
      <c r="F16" s="180">
        <f>-DRE!F25</f>
        <v>179086</v>
      </c>
      <c r="G16" s="102"/>
    </row>
    <row r="17" spans="2:7">
      <c r="B17" s="104"/>
      <c r="C17" s="85"/>
      <c r="D17" s="180"/>
      <c r="E17" s="179"/>
      <c r="F17" s="180"/>
      <c r="G17" s="102"/>
    </row>
    <row r="18" spans="2:7" ht="15">
      <c r="B18" s="100" t="s">
        <v>49</v>
      </c>
      <c r="C18" s="85"/>
      <c r="D18" s="182">
        <f>D14+D16+D17</f>
        <v>865029.1799999997</v>
      </c>
      <c r="E18" s="179"/>
      <c r="F18" s="182">
        <f>F14+F16+F17</f>
        <v>2812912</v>
      </c>
      <c r="G18" s="102"/>
    </row>
    <row r="19" spans="2:7">
      <c r="B19" s="85"/>
      <c r="C19" s="85"/>
      <c r="D19" s="183"/>
      <c r="E19" s="179"/>
      <c r="F19" s="183"/>
      <c r="G19" s="85"/>
    </row>
    <row r="20" spans="2:7" ht="15">
      <c r="B20" s="100" t="s">
        <v>50</v>
      </c>
      <c r="C20" s="85"/>
      <c r="D20" s="180"/>
      <c r="E20" s="179"/>
      <c r="F20" s="180"/>
      <c r="G20" s="85"/>
    </row>
    <row r="21" spans="2:7">
      <c r="B21" s="104" t="s">
        <v>51</v>
      </c>
      <c r="C21" s="85"/>
      <c r="D21" s="180">
        <f>Ativo!F9-Ativo!D9</f>
        <v>16315202</v>
      </c>
      <c r="E21" s="179"/>
      <c r="F21" s="180">
        <v>-1587435</v>
      </c>
      <c r="G21" s="102"/>
    </row>
    <row r="22" spans="2:7">
      <c r="B22" s="104" t="s">
        <v>52</v>
      </c>
      <c r="C22" s="85"/>
      <c r="D22" s="180">
        <f>Ativo!F10-Ativo!D10</f>
        <v>-14293368</v>
      </c>
      <c r="E22" s="179"/>
      <c r="F22" s="180">
        <v>-12152425</v>
      </c>
      <c r="G22" s="102"/>
    </row>
    <row r="23" spans="2:7">
      <c r="B23" s="104" t="s">
        <v>7</v>
      </c>
      <c r="C23" s="85"/>
      <c r="D23" s="180">
        <f>Ativo!F11-Ativo!D11</f>
        <v>-853.6</v>
      </c>
      <c r="E23" s="179"/>
      <c r="F23" s="180">
        <v>4367</v>
      </c>
      <c r="G23" s="102"/>
    </row>
    <row r="24" spans="2:7">
      <c r="B24" s="104" t="s">
        <v>53</v>
      </c>
      <c r="C24" s="85"/>
      <c r="D24" s="180">
        <f>Ativo!F12-Ativo!D12-1</f>
        <v>137420.05000000005</v>
      </c>
      <c r="E24" s="179"/>
      <c r="F24" s="180">
        <v>-54025</v>
      </c>
      <c r="G24" s="102"/>
    </row>
    <row r="25" spans="2:7">
      <c r="B25" s="104" t="s">
        <v>54</v>
      </c>
      <c r="C25" s="85"/>
      <c r="D25" s="180">
        <f>Ativo!F13-Ativo!D13</f>
        <v>36200.32</v>
      </c>
      <c r="E25" s="179"/>
      <c r="F25" s="180">
        <v>52986</v>
      </c>
      <c r="G25" s="102"/>
    </row>
    <row r="26" spans="2:7" ht="15">
      <c r="B26" s="100" t="s">
        <v>55</v>
      </c>
      <c r="C26" s="85"/>
      <c r="D26" s="181">
        <f>SUM(D21:D25)</f>
        <v>2194600.77</v>
      </c>
      <c r="E26" s="179"/>
      <c r="F26" s="181">
        <f>SUM(F21:F25)</f>
        <v>-13736532</v>
      </c>
      <c r="G26" s="105"/>
    </row>
    <row r="27" spans="2:7" ht="18" customHeight="1">
      <c r="B27" s="101"/>
      <c r="C27" s="85"/>
      <c r="D27" s="184"/>
      <c r="E27" s="179"/>
      <c r="F27" s="184"/>
      <c r="G27" s="105"/>
    </row>
    <row r="28" spans="2:7" ht="18" customHeight="1">
      <c r="B28" s="100" t="s">
        <v>56</v>
      </c>
      <c r="C28" s="85"/>
      <c r="D28" s="180"/>
      <c r="E28" s="179"/>
      <c r="F28" s="180"/>
      <c r="G28" s="105"/>
    </row>
    <row r="29" spans="2:7" ht="18" customHeight="1">
      <c r="B29" s="104" t="s">
        <v>17</v>
      </c>
      <c r="C29" s="85"/>
      <c r="D29" s="180">
        <f>'Passivo e PL'!D8-'Passivo e PL'!F8</f>
        <v>709470</v>
      </c>
      <c r="E29" s="179"/>
      <c r="F29" s="180">
        <v>2312191</v>
      </c>
      <c r="G29" s="105"/>
    </row>
    <row r="30" spans="2:7" ht="18" customHeight="1">
      <c r="B30" s="104" t="s">
        <v>57</v>
      </c>
      <c r="C30" s="85"/>
      <c r="D30" s="180">
        <f>'Passivo e PL'!D9-'Passivo e PL'!F9</f>
        <v>-1231881</v>
      </c>
      <c r="E30" s="179"/>
      <c r="F30" s="180">
        <v>2329369</v>
      </c>
      <c r="G30" s="105"/>
    </row>
    <row r="31" spans="2:7" ht="18" customHeight="1">
      <c r="B31" s="104" t="s">
        <v>18</v>
      </c>
      <c r="C31" s="85"/>
      <c r="D31" s="180">
        <f>'Passivo e PL'!D10-'Passivo e PL'!F10</f>
        <v>6811413</v>
      </c>
      <c r="E31" s="179"/>
      <c r="F31" s="180">
        <v>10966949</v>
      </c>
      <c r="G31" s="105"/>
    </row>
    <row r="32" spans="2:7" ht="18" customHeight="1">
      <c r="B32" s="104" t="s">
        <v>204</v>
      </c>
      <c r="C32" s="85"/>
      <c r="D32" s="180">
        <f>'Passivo e PL'!D17-'Passivo e PL'!F17</f>
        <v>655449.79</v>
      </c>
      <c r="E32" s="179"/>
      <c r="F32" s="180">
        <v>-58448</v>
      </c>
      <c r="G32" s="105"/>
    </row>
    <row r="33" spans="2:7" ht="18" customHeight="1">
      <c r="B33" s="104" t="s">
        <v>20</v>
      </c>
      <c r="C33" s="85"/>
      <c r="D33" s="180">
        <f>'Passivo e PL'!D11-'Passivo e PL'!F11-0.13</f>
        <v>-16071722.130000001</v>
      </c>
      <c r="E33" s="179"/>
      <c r="F33" s="180">
        <v>-5476466</v>
      </c>
      <c r="G33" s="105"/>
    </row>
    <row r="34" spans="2:7" ht="18" customHeight="1">
      <c r="B34" s="104" t="s">
        <v>21</v>
      </c>
      <c r="C34" s="85"/>
      <c r="D34" s="180">
        <v>-60517</v>
      </c>
      <c r="E34" s="179"/>
      <c r="F34" s="180">
        <v>34903</v>
      </c>
      <c r="G34" s="105"/>
    </row>
    <row r="35" spans="2:7" ht="18" customHeight="1">
      <c r="B35" s="194" t="s">
        <v>186</v>
      </c>
      <c r="C35" s="85"/>
      <c r="D35" s="180">
        <f>'Passivo e PL'!D13-'Passivo e PL'!F13</f>
        <v>0</v>
      </c>
      <c r="E35" s="179"/>
      <c r="F35" s="7">
        <v>0</v>
      </c>
      <c r="G35" s="105"/>
    </row>
    <row r="36" spans="2:7" ht="18" customHeight="1">
      <c r="B36" s="100" t="s">
        <v>58</v>
      </c>
      <c r="C36" s="85"/>
      <c r="D36" s="181">
        <f>SUM(D29:D35)</f>
        <v>-9187787.3399999999</v>
      </c>
      <c r="E36" s="179"/>
      <c r="F36" s="181">
        <f>SUM(F29:F35)</f>
        <v>10108498</v>
      </c>
      <c r="G36" s="105"/>
    </row>
    <row r="37" spans="2:7" ht="18" customHeight="1">
      <c r="B37" s="100"/>
      <c r="C37" s="85"/>
      <c r="D37" s="185"/>
      <c r="E37" s="179"/>
      <c r="F37" s="185"/>
      <c r="G37" s="105"/>
    </row>
    <row r="38" spans="2:7" ht="15">
      <c r="B38" s="100" t="s">
        <v>59</v>
      </c>
      <c r="C38" s="85"/>
      <c r="D38" s="186">
        <f>SUM(D18,D26,D36)</f>
        <v>-6128157.3900000006</v>
      </c>
      <c r="E38" s="179"/>
      <c r="F38" s="186">
        <f>SUM(F18,F26,F36)</f>
        <v>-815122</v>
      </c>
      <c r="G38" s="102"/>
    </row>
    <row r="39" spans="2:7">
      <c r="B39" s="86"/>
      <c r="C39" s="86"/>
      <c r="D39" s="187"/>
      <c r="E39" s="188"/>
      <c r="F39" s="188"/>
      <c r="G39" s="86"/>
    </row>
    <row r="40" spans="2:7" ht="15">
      <c r="B40" s="100" t="s">
        <v>60</v>
      </c>
      <c r="C40" s="86"/>
      <c r="D40" s="187"/>
      <c r="E40" s="188"/>
      <c r="F40" s="188"/>
      <c r="G40" s="86"/>
    </row>
    <row r="41" spans="2:7">
      <c r="B41" s="86"/>
      <c r="C41" s="86"/>
      <c r="D41" s="187"/>
      <c r="E41" s="188"/>
      <c r="F41" s="188"/>
      <c r="G41" s="86"/>
    </row>
    <row r="42" spans="2:7" ht="15">
      <c r="B42" s="100" t="s">
        <v>61</v>
      </c>
      <c r="C42" s="86"/>
      <c r="D42" s="187"/>
      <c r="E42" s="188"/>
      <c r="F42" s="188"/>
      <c r="G42" s="86"/>
    </row>
    <row r="43" spans="2:7">
      <c r="B43" s="106" t="s">
        <v>62</v>
      </c>
      <c r="C43" s="86"/>
      <c r="D43" s="187">
        <f>Ativo!F19-Ativo!D19-DFC!D16</f>
        <v>-7945</v>
      </c>
      <c r="E43" s="188"/>
      <c r="F43" s="187">
        <v>-130678</v>
      </c>
      <c r="G43" s="86"/>
    </row>
    <row r="44" spans="2:7">
      <c r="B44" s="107" t="s">
        <v>63</v>
      </c>
      <c r="C44" s="86"/>
      <c r="D44" s="187">
        <f>Ativo!F17-Ativo!D17</f>
        <v>114561</v>
      </c>
      <c r="E44" s="188"/>
      <c r="F44" s="187">
        <v>-2550201</v>
      </c>
      <c r="G44" s="86"/>
    </row>
    <row r="45" spans="2:7" ht="15">
      <c r="B45" s="100" t="s">
        <v>64</v>
      </c>
      <c r="C45" s="86"/>
      <c r="D45" s="189">
        <f>SUM(D43:D44)</f>
        <v>106616</v>
      </c>
      <c r="E45" s="188"/>
      <c r="F45" s="189">
        <f>SUM(F43:F44)</f>
        <v>-2680879</v>
      </c>
      <c r="G45" s="86"/>
    </row>
    <row r="46" spans="2:7" ht="6.75" customHeight="1">
      <c r="B46" s="86"/>
      <c r="C46" s="86"/>
      <c r="D46" s="187"/>
      <c r="E46" s="188"/>
      <c r="F46" s="187"/>
      <c r="G46" s="86"/>
    </row>
    <row r="47" spans="2:7" ht="15.75" thickBot="1">
      <c r="B47" s="87" t="s">
        <v>65</v>
      </c>
      <c r="C47" s="86"/>
      <c r="D47" s="190">
        <f>SUM(D38,D45)</f>
        <v>-6021541.3900000006</v>
      </c>
      <c r="E47" s="191"/>
      <c r="F47" s="190">
        <f>SUM(F38,F45)</f>
        <v>-3496001</v>
      </c>
      <c r="G47" s="86"/>
    </row>
    <row r="48" spans="2:7" ht="15" thickTop="1">
      <c r="B48" s="86"/>
      <c r="C48" s="86"/>
      <c r="D48" s="187"/>
      <c r="E48" s="188"/>
      <c r="F48" s="187"/>
      <c r="G48" s="86"/>
    </row>
    <row r="49" spans="2:7">
      <c r="B49" s="86" t="s">
        <v>66</v>
      </c>
      <c r="C49" s="86"/>
      <c r="D49" s="187">
        <f>3000+205607.14+30976377.24</f>
        <v>31184984.379999999</v>
      </c>
      <c r="E49" s="188"/>
      <c r="F49" s="187">
        <v>34680985</v>
      </c>
      <c r="G49" s="86"/>
    </row>
    <row r="50" spans="2:7">
      <c r="B50" s="86" t="s">
        <v>67</v>
      </c>
      <c r="C50" s="86"/>
      <c r="D50" s="187">
        <f>Ativo!D8</f>
        <v>25163443</v>
      </c>
      <c r="E50" s="188"/>
      <c r="F50" s="187">
        <v>31184984</v>
      </c>
      <c r="G50" s="86"/>
    </row>
    <row r="51" spans="2:7" ht="7.5" customHeight="1">
      <c r="B51" s="86"/>
      <c r="C51" s="86"/>
      <c r="D51" s="187"/>
      <c r="E51" s="188"/>
      <c r="F51" s="187"/>
      <c r="G51" s="86"/>
    </row>
    <row r="52" spans="2:7" ht="15.75" thickBot="1">
      <c r="B52" s="87" t="s">
        <v>65</v>
      </c>
      <c r="C52" s="86"/>
      <c r="D52" s="190">
        <f>D50-D49</f>
        <v>-6021541.379999999</v>
      </c>
      <c r="E52" s="191"/>
      <c r="F52" s="190">
        <f>F50-F49</f>
        <v>-3496001</v>
      </c>
      <c r="G52" s="86"/>
    </row>
    <row r="53" spans="2:7" ht="15" thickTop="1">
      <c r="B53" s="86"/>
      <c r="C53" s="86"/>
      <c r="E53" s="108"/>
      <c r="G53" s="86"/>
    </row>
    <row r="54" spans="2:7">
      <c r="D54" s="195"/>
      <c r="F54" s="123"/>
    </row>
  </sheetData>
  <mergeCells count="4">
    <mergeCell ref="B5:G5"/>
    <mergeCell ref="B6:G6"/>
    <mergeCell ref="B7:G7"/>
    <mergeCell ref="B8:G8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showGridLines="0" topLeftCell="A18" workbookViewId="0">
      <selection activeCell="C19" sqref="C19"/>
    </sheetView>
  </sheetViews>
  <sheetFormatPr defaultRowHeight="15"/>
  <cols>
    <col min="1" max="1" width="45.7109375" customWidth="1"/>
    <col min="2" max="2" width="3.7109375" customWidth="1"/>
    <col min="3" max="3" width="10.140625" bestFit="1" customWidth="1"/>
    <col min="4" max="4" width="4.42578125" customWidth="1"/>
    <col min="5" max="5" width="10.140625" bestFit="1" customWidth="1"/>
  </cols>
  <sheetData>
    <row r="1" spans="1:5" ht="15.75" thickBot="1">
      <c r="A1" s="124"/>
      <c r="B1" s="125"/>
      <c r="C1" s="33">
        <v>2014</v>
      </c>
      <c r="D1" s="34"/>
      <c r="E1" s="33">
        <v>2013</v>
      </c>
    </row>
    <row r="2" spans="1:5">
      <c r="A2" s="126"/>
      <c r="B2" s="127"/>
      <c r="C2" s="128"/>
      <c r="D2" s="128"/>
      <c r="E2" s="128"/>
    </row>
    <row r="3" spans="1:5" ht="15.75" thickBot="1">
      <c r="A3" s="32" t="s">
        <v>68</v>
      </c>
      <c r="B3" s="36"/>
      <c r="C3" s="38">
        <v>3000</v>
      </c>
      <c r="D3" s="36"/>
      <c r="E3" s="38">
        <v>3000</v>
      </c>
    </row>
    <row r="4" spans="1:5">
      <c r="A4" s="126"/>
      <c r="B4" s="126"/>
      <c r="C4" s="126"/>
      <c r="D4" s="126"/>
      <c r="E4" s="126"/>
    </row>
    <row r="5" spans="1:5">
      <c r="A5" s="32" t="s">
        <v>69</v>
      </c>
      <c r="B5" s="32"/>
      <c r="C5" s="32"/>
      <c r="D5" s="32"/>
      <c r="E5" s="32"/>
    </row>
    <row r="6" spans="1:5">
      <c r="A6" s="35" t="s">
        <v>70</v>
      </c>
      <c r="B6" s="36"/>
      <c r="C6" s="37">
        <v>164267.32</v>
      </c>
      <c r="D6" s="36"/>
      <c r="E6" s="37">
        <f>3548.1+391.61</f>
        <v>3939.71</v>
      </c>
    </row>
    <row r="7" spans="1:5">
      <c r="A7" s="35" t="s">
        <v>71</v>
      </c>
      <c r="B7" s="36"/>
      <c r="C7" s="37">
        <v>57.8</v>
      </c>
      <c r="D7" s="36"/>
      <c r="E7" s="37">
        <v>0</v>
      </c>
    </row>
    <row r="8" spans="1:5">
      <c r="A8" s="35" t="s">
        <v>72</v>
      </c>
      <c r="B8" s="36"/>
      <c r="C8" s="37">
        <v>41282.019999999997</v>
      </c>
      <c r="D8" s="36"/>
      <c r="E8" s="37">
        <v>6818.14</v>
      </c>
    </row>
    <row r="9" spans="1:5" ht="15.75" thickBot="1">
      <c r="A9" s="35" t="s">
        <v>73</v>
      </c>
      <c r="B9" s="36"/>
      <c r="C9" s="36"/>
      <c r="D9" s="36"/>
      <c r="E9" s="36"/>
    </row>
    <row r="10" spans="1:5" ht="15.75" thickBot="1">
      <c r="A10" s="42"/>
      <c r="B10" s="34"/>
      <c r="C10" s="129">
        <f>SUM(C6:C9)</f>
        <v>205607.13999999998</v>
      </c>
      <c r="D10" s="34"/>
      <c r="E10" s="129">
        <f>SUM(E6:E9)</f>
        <v>10757.85</v>
      </c>
    </row>
    <row r="11" spans="1:5" ht="15.75" thickBot="1">
      <c r="A11" s="124"/>
      <c r="B11" s="125"/>
      <c r="C11" s="33"/>
      <c r="D11" s="34"/>
      <c r="E11" s="33"/>
    </row>
    <row r="12" spans="1:5">
      <c r="A12" s="32" t="s">
        <v>74</v>
      </c>
      <c r="B12" s="32"/>
      <c r="C12" s="32"/>
      <c r="D12" s="32"/>
      <c r="E12" s="32"/>
    </row>
    <row r="13" spans="1:5">
      <c r="A13" s="35" t="s">
        <v>75</v>
      </c>
      <c r="B13" s="36"/>
      <c r="C13" s="37">
        <f>16786146.39+3887681.75</f>
        <v>20673828.140000001</v>
      </c>
      <c r="D13" s="36"/>
      <c r="E13" s="37">
        <f>17414885.89+10164399.54</f>
        <v>27579285.43</v>
      </c>
    </row>
    <row r="14" spans="1:5">
      <c r="A14" s="35" t="s">
        <v>179</v>
      </c>
      <c r="B14" s="36"/>
      <c r="C14" s="37">
        <v>6607197.9900000002</v>
      </c>
      <c r="D14" s="36"/>
      <c r="E14" s="37">
        <v>4047193.06</v>
      </c>
    </row>
    <row r="15" spans="1:5">
      <c r="A15" s="35" t="s">
        <v>76</v>
      </c>
      <c r="B15" s="36"/>
      <c r="C15" s="37">
        <v>623076.34</v>
      </c>
      <c r="D15" s="36"/>
      <c r="E15" s="37">
        <f>586476.25</f>
        <v>586476.25</v>
      </c>
    </row>
    <row r="16" spans="1:5">
      <c r="A16" s="35" t="s">
        <v>77</v>
      </c>
      <c r="B16" s="36"/>
      <c r="C16" s="37">
        <v>881988.14</v>
      </c>
      <c r="D16" s="36"/>
      <c r="E16" s="37">
        <v>795025.39</v>
      </c>
    </row>
    <row r="17" spans="1:5" ht="15.75" thickBot="1">
      <c r="A17" s="35" t="s">
        <v>78</v>
      </c>
      <c r="B17" s="36"/>
      <c r="C17" s="38">
        <f>300631.32+648233.14</f>
        <v>948864.46</v>
      </c>
      <c r="D17" s="36"/>
      <c r="E17" s="38">
        <f>1442638.16+216608.99</f>
        <v>1659247.15</v>
      </c>
    </row>
    <row r="18" spans="1:5" ht="15.75" thickBot="1">
      <c r="A18" s="39"/>
      <c r="B18" s="34"/>
      <c r="C18" s="40">
        <f>SUM(C13:C17)</f>
        <v>29734955.070000004</v>
      </c>
      <c r="D18" s="34"/>
      <c r="E18" s="40">
        <f>SUM(E13:E17)</f>
        <v>34667227.280000001</v>
      </c>
    </row>
    <row r="19" spans="1:5" ht="15.75" thickBot="1">
      <c r="A19" s="52" t="s">
        <v>79</v>
      </c>
      <c r="B19" s="52"/>
      <c r="C19" s="130">
        <f>SUM(C3,C10,C18)</f>
        <v>29943562.210000005</v>
      </c>
      <c r="D19" s="131"/>
      <c r="E19" s="130">
        <f>SUM(E3,E10,E18)</f>
        <v>34680985.130000003</v>
      </c>
    </row>
    <row r="20" spans="1:5" ht="15.75" thickTop="1"/>
    <row r="22" spans="1:5" ht="15.75" thickBot="1">
      <c r="A22" s="32"/>
      <c r="B22" s="32"/>
      <c r="C22" s="33">
        <v>2014</v>
      </c>
      <c r="D22" s="34"/>
      <c r="E22" s="33">
        <v>2013</v>
      </c>
    </row>
    <row r="23" spans="1:5">
      <c r="A23" s="32" t="s">
        <v>80</v>
      </c>
      <c r="B23" s="32"/>
      <c r="C23" s="32"/>
      <c r="D23" s="32"/>
      <c r="E23" s="32"/>
    </row>
    <row r="24" spans="1:5">
      <c r="A24" s="35" t="s">
        <v>81</v>
      </c>
      <c r="B24" s="36"/>
      <c r="C24" s="37">
        <v>152683.72</v>
      </c>
      <c r="D24" s="36"/>
      <c r="E24" s="37">
        <v>2362972.81</v>
      </c>
    </row>
    <row r="25" spans="1:5">
      <c r="A25" s="35" t="s">
        <v>71</v>
      </c>
      <c r="B25" s="36"/>
      <c r="C25" s="36"/>
      <c r="D25" s="36"/>
      <c r="E25" s="36"/>
    </row>
    <row r="26" spans="1:5">
      <c r="A26" s="35" t="s">
        <v>72</v>
      </c>
      <c r="B26" s="36"/>
      <c r="C26" s="37">
        <v>3006.81</v>
      </c>
      <c r="D26" s="36"/>
      <c r="E26" s="37">
        <v>2372.21</v>
      </c>
    </row>
    <row r="27" spans="1:5" ht="15.75" thickBot="1">
      <c r="A27" s="35" t="s">
        <v>82</v>
      </c>
      <c r="B27" s="36"/>
      <c r="C27" s="38">
        <v>289651.18</v>
      </c>
      <c r="D27" s="36"/>
      <c r="E27" s="38">
        <v>368861.8</v>
      </c>
    </row>
    <row r="28" spans="1:5" ht="15.75" thickBot="1">
      <c r="A28" s="39"/>
      <c r="B28" s="34"/>
      <c r="C28" s="40">
        <f>SUM(C24:C27)</f>
        <v>445341.70999999996</v>
      </c>
      <c r="D28" s="34"/>
      <c r="E28" s="40">
        <f>SUM(E24:E27)</f>
        <v>2734206.82</v>
      </c>
    </row>
    <row r="29" spans="1:5">
      <c r="A29" s="32"/>
      <c r="B29" s="32"/>
      <c r="C29" s="32"/>
      <c r="D29" s="32"/>
      <c r="E29" s="32"/>
    </row>
    <row r="30" spans="1:5" ht="15.75" thickBot="1">
      <c r="A30" s="115" t="s">
        <v>147</v>
      </c>
      <c r="B30" s="32"/>
      <c r="C30" s="40">
        <v>1191370.96</v>
      </c>
      <c r="D30" s="34"/>
      <c r="E30" s="40">
        <v>908646.1</v>
      </c>
    </row>
    <row r="31" spans="1:5">
      <c r="A31" s="32"/>
      <c r="B31" s="32"/>
      <c r="C31" s="32"/>
      <c r="D31" s="32"/>
      <c r="E31" s="32"/>
    </row>
    <row r="32" spans="1:5">
      <c r="A32" s="32" t="s">
        <v>83</v>
      </c>
      <c r="B32" s="32"/>
      <c r="C32" s="32"/>
      <c r="D32" s="32"/>
      <c r="E32" s="32"/>
    </row>
    <row r="33" spans="1:5">
      <c r="A33" s="35" t="s">
        <v>84</v>
      </c>
      <c r="B33" s="36"/>
      <c r="C33" s="37">
        <f>57274097.59+315340.06</f>
        <v>57589437.650000006</v>
      </c>
      <c r="D33" s="36"/>
      <c r="E33" s="37">
        <f>53002353.08+417734.25</f>
        <v>53420087.329999998</v>
      </c>
    </row>
    <row r="34" spans="1:5">
      <c r="A34" s="35" t="s">
        <v>85</v>
      </c>
      <c r="B34" s="41"/>
      <c r="C34" s="37">
        <v>7564.31</v>
      </c>
      <c r="D34" s="36"/>
      <c r="E34" s="37">
        <v>7999.86</v>
      </c>
    </row>
    <row r="35" spans="1:5">
      <c r="A35" s="35" t="s">
        <v>78</v>
      </c>
      <c r="B35" s="36"/>
      <c r="C35" s="37">
        <v>2879141.35</v>
      </c>
      <c r="D35" s="36"/>
      <c r="E35" s="37">
        <v>823426.9</v>
      </c>
    </row>
    <row r="36" spans="1:5" ht="15.75" thickBot="1">
      <c r="A36" s="35" t="s">
        <v>86</v>
      </c>
      <c r="B36" s="36"/>
      <c r="C36" s="38">
        <v>57638.52</v>
      </c>
      <c r="D36" s="36"/>
      <c r="E36" s="38">
        <v>53852.62</v>
      </c>
    </row>
    <row r="37" spans="1:5" ht="15.75" thickBot="1">
      <c r="A37" s="39"/>
      <c r="B37" s="34"/>
      <c r="C37" s="40">
        <f>SUM(C33:C36)</f>
        <v>60533781.830000013</v>
      </c>
      <c r="D37" s="34"/>
      <c r="E37" s="40">
        <f>SUM(E33:E36)</f>
        <v>54305366.709999993</v>
      </c>
    </row>
    <row r="38" spans="1:5" ht="15.75" thickBot="1">
      <c r="A38" s="42" t="s">
        <v>87</v>
      </c>
      <c r="B38" s="34"/>
      <c r="C38" s="43">
        <f>SUM(C28,C37,C30)</f>
        <v>62170494.500000015</v>
      </c>
      <c r="D38" s="34"/>
      <c r="E38" s="43">
        <f>SUM(E28,E37,E30)</f>
        <v>57948219.629999995</v>
      </c>
    </row>
    <row r="39" spans="1:5" ht="15.75" thickTop="1"/>
    <row r="40" spans="1:5" ht="15.75" thickBot="1">
      <c r="A40" s="20" t="s">
        <v>178</v>
      </c>
      <c r="C40" s="43">
        <f>SUM(C19,C38)</f>
        <v>92114056.710000023</v>
      </c>
      <c r="E40" s="43">
        <f>SUM(E19,E38)</f>
        <v>92629204.75999999</v>
      </c>
    </row>
    <row r="41" spans="1:5" ht="15.75" thickTop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3"/>
  <sheetViews>
    <sheetView workbookViewId="0">
      <selection activeCell="C19" sqref="C19"/>
    </sheetView>
  </sheetViews>
  <sheetFormatPr defaultRowHeight="19.5" customHeight="1"/>
  <cols>
    <col min="1" max="1" width="38.7109375" customWidth="1"/>
    <col min="2" max="2" width="3" customWidth="1"/>
    <col min="3" max="3" width="10.140625" bestFit="1" customWidth="1"/>
    <col min="4" max="4" width="3.140625" customWidth="1"/>
    <col min="5" max="5" width="10.140625" bestFit="1" customWidth="1"/>
  </cols>
  <sheetData>
    <row r="2" spans="1:5" ht="19.5" customHeight="1">
      <c r="A2" s="203" t="s">
        <v>181</v>
      </c>
      <c r="B2" s="203"/>
      <c r="C2" s="203"/>
      <c r="D2" s="203"/>
      <c r="E2" s="203"/>
    </row>
    <row r="4" spans="1:5" ht="18" customHeight="1" thickBot="1">
      <c r="A4" s="34"/>
      <c r="B4" s="34"/>
      <c r="C4" s="80">
        <v>2014</v>
      </c>
      <c r="D4" s="34"/>
      <c r="E4" s="80">
        <v>2013</v>
      </c>
    </row>
    <row r="5" spans="1:5" ht="19.5" customHeight="1">
      <c r="A5" s="35" t="s">
        <v>88</v>
      </c>
      <c r="B5" s="36"/>
      <c r="C5" s="37">
        <v>12348532.07</v>
      </c>
      <c r="D5" s="36"/>
      <c r="E5" s="37">
        <v>7558396.1799999997</v>
      </c>
    </row>
    <row r="6" spans="1:5" ht="19.5" customHeight="1" thickBot="1">
      <c r="A6" s="35" t="s">
        <v>89</v>
      </c>
      <c r="B6" s="36"/>
      <c r="C6" s="38">
        <f>22037673.63-C9</f>
        <v>21347143.059999999</v>
      </c>
      <c r="D6" s="36"/>
      <c r="E6" s="38">
        <f>14675383.32-E9</f>
        <v>14185485.32</v>
      </c>
    </row>
    <row r="7" spans="1:5" ht="19.5" customHeight="1" thickBot="1">
      <c r="A7" s="42" t="s">
        <v>90</v>
      </c>
      <c r="B7" s="34"/>
      <c r="C7" s="40">
        <f>SUM(C5:C6)</f>
        <v>33695675.129999995</v>
      </c>
      <c r="D7" s="34"/>
      <c r="E7" s="40">
        <f>SUM(E5:E6)</f>
        <v>21743881.5</v>
      </c>
    </row>
    <row r="8" spans="1:5" ht="13.5" customHeight="1">
      <c r="A8" s="134"/>
      <c r="B8" s="127"/>
      <c r="C8" s="127"/>
      <c r="D8" s="127"/>
      <c r="E8" s="127"/>
    </row>
    <row r="9" spans="1:5" ht="19.5" customHeight="1" thickBot="1">
      <c r="A9" s="35" t="s">
        <v>89</v>
      </c>
      <c r="B9" s="36"/>
      <c r="C9" s="38">
        <v>690530.57</v>
      </c>
      <c r="D9" s="36"/>
      <c r="E9" s="38">
        <v>489898</v>
      </c>
    </row>
    <row r="10" spans="1:5" ht="19.5" customHeight="1" thickBot="1">
      <c r="A10" s="42" t="s">
        <v>91</v>
      </c>
      <c r="B10" s="34"/>
      <c r="C10" s="40">
        <f>SUM(C9)</f>
        <v>690530.57</v>
      </c>
      <c r="D10" s="34"/>
      <c r="E10" s="40">
        <f>SUM(E9)</f>
        <v>489898</v>
      </c>
    </row>
    <row r="11" spans="1:5" ht="10.5" customHeight="1" thickBot="1">
      <c r="A11" s="134"/>
      <c r="B11" s="127"/>
      <c r="C11" s="127"/>
      <c r="D11" s="127"/>
      <c r="E11" s="127"/>
    </row>
    <row r="12" spans="1:5" ht="19.5" customHeight="1" thickBot="1">
      <c r="A12" s="52" t="s">
        <v>92</v>
      </c>
      <c r="B12" s="34"/>
      <c r="C12" s="82">
        <f>SUM(C10,C7)</f>
        <v>34386205.699999996</v>
      </c>
      <c r="D12" s="42"/>
      <c r="E12" s="82">
        <f>SUM(E10,E7)</f>
        <v>22233779.5</v>
      </c>
    </row>
    <row r="13" spans="1:5" ht="19.5" customHeight="1" thickTop="1"/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E13"/>
  <sheetViews>
    <sheetView workbookViewId="0">
      <selection activeCell="C19" sqref="C19"/>
    </sheetView>
  </sheetViews>
  <sheetFormatPr defaultRowHeight="15"/>
  <cols>
    <col min="3" max="3" width="20.28515625" customWidth="1"/>
    <col min="4" max="4" width="10.5703125" bestFit="1" customWidth="1"/>
    <col min="5" max="5" width="12.5703125" customWidth="1"/>
  </cols>
  <sheetData>
    <row r="7" spans="3:5" ht="15.75" thickBot="1"/>
    <row r="8" spans="3:5" ht="15.75" thickBot="1">
      <c r="C8" s="160" t="s">
        <v>166</v>
      </c>
      <c r="D8" s="161">
        <v>2012</v>
      </c>
      <c r="E8" s="162">
        <v>2011</v>
      </c>
    </row>
    <row r="9" spans="3:5">
      <c r="C9" s="157" t="s">
        <v>167</v>
      </c>
      <c r="D9" s="158">
        <v>702.62</v>
      </c>
      <c r="E9" s="159">
        <v>242.29</v>
      </c>
    </row>
    <row r="10" spans="3:5">
      <c r="C10" s="152" t="s">
        <v>168</v>
      </c>
      <c r="D10" s="151">
        <v>3151</v>
      </c>
      <c r="E10" s="153">
        <v>3151</v>
      </c>
    </row>
    <row r="11" spans="3:5">
      <c r="C11" s="152" t="s">
        <v>169</v>
      </c>
      <c r="D11" s="151">
        <v>253.03</v>
      </c>
      <c r="E11" s="153">
        <v>205.26</v>
      </c>
    </row>
    <row r="12" spans="3:5">
      <c r="C12" s="152" t="s">
        <v>170</v>
      </c>
      <c r="D12" s="151">
        <v>1776452</v>
      </c>
      <c r="E12" s="153">
        <v>0</v>
      </c>
    </row>
    <row r="13" spans="3:5" ht="15.75" thickBot="1">
      <c r="C13" s="154" t="s">
        <v>108</v>
      </c>
      <c r="D13" s="155">
        <f>SUM(D9:D12)</f>
        <v>1780558.65</v>
      </c>
      <c r="E13" s="156">
        <f>SUM(E9:E12)</f>
        <v>3598.55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17"/>
  <sheetViews>
    <sheetView workbookViewId="0">
      <selection activeCell="C19" sqref="C19"/>
    </sheetView>
  </sheetViews>
  <sheetFormatPr defaultRowHeight="15"/>
  <cols>
    <col min="1" max="1" width="44.28515625" customWidth="1"/>
    <col min="2" max="2" width="2.85546875" customWidth="1"/>
    <col min="4" max="4" width="2.7109375" customWidth="1"/>
  </cols>
  <sheetData>
    <row r="5" spans="1:5" ht="15.75" thickBot="1">
      <c r="A5" s="45"/>
      <c r="B5" s="45"/>
      <c r="C5" s="46">
        <v>2011</v>
      </c>
      <c r="D5" s="45"/>
      <c r="E5" s="46">
        <v>2011</v>
      </c>
    </row>
    <row r="6" spans="1:5">
      <c r="A6" s="47"/>
      <c r="B6" s="48"/>
      <c r="C6" s="48"/>
      <c r="D6" s="48"/>
      <c r="E6" s="48"/>
    </row>
    <row r="7" spans="1:5">
      <c r="A7" s="49" t="s">
        <v>93</v>
      </c>
      <c r="B7" s="50"/>
      <c r="C7" s="51">
        <v>430369</v>
      </c>
      <c r="D7" s="50"/>
      <c r="E7" s="51">
        <v>430369</v>
      </c>
    </row>
    <row r="8" spans="1:5">
      <c r="A8" s="49" t="s">
        <v>94</v>
      </c>
      <c r="B8" s="50"/>
      <c r="C8" s="51">
        <v>187093</v>
      </c>
      <c r="D8" s="50"/>
      <c r="E8" s="51">
        <v>187093</v>
      </c>
    </row>
    <row r="9" spans="1:5">
      <c r="A9" s="49" t="s">
        <v>95</v>
      </c>
      <c r="B9" s="50"/>
      <c r="C9" s="51">
        <v>180400</v>
      </c>
      <c r="D9" s="50"/>
      <c r="E9" s="51">
        <v>180400</v>
      </c>
    </row>
    <row r="10" spans="1:5">
      <c r="A10" s="49" t="s">
        <v>96</v>
      </c>
      <c r="B10" s="50"/>
      <c r="C10" s="51">
        <v>47114</v>
      </c>
      <c r="D10" s="50"/>
      <c r="E10" s="51">
        <v>47114</v>
      </c>
    </row>
    <row r="11" spans="1:5">
      <c r="A11" s="49" t="s">
        <v>97</v>
      </c>
      <c r="B11" s="50"/>
      <c r="C11" s="51">
        <v>30088</v>
      </c>
      <c r="D11" s="50"/>
      <c r="E11" s="51">
        <v>30088</v>
      </c>
    </row>
    <row r="12" spans="1:5">
      <c r="A12" s="49" t="s">
        <v>98</v>
      </c>
      <c r="C12" s="51">
        <v>28548</v>
      </c>
      <c r="E12" s="51">
        <v>28548</v>
      </c>
    </row>
    <row r="13" spans="1:5">
      <c r="A13" s="49" t="s">
        <v>148</v>
      </c>
      <c r="C13" s="51">
        <v>18192.54</v>
      </c>
      <c r="E13" s="51">
        <v>0</v>
      </c>
    </row>
    <row r="14" spans="1:5">
      <c r="A14" s="49" t="s">
        <v>149</v>
      </c>
      <c r="C14" s="51">
        <v>42023.78</v>
      </c>
      <c r="E14" s="51">
        <v>0</v>
      </c>
    </row>
    <row r="15" spans="1:5" ht="15.75" thickBot="1">
      <c r="A15" s="49" t="s">
        <v>99</v>
      </c>
      <c r="B15" s="50"/>
      <c r="C15" s="51">
        <v>2377</v>
      </c>
      <c r="D15" s="50"/>
      <c r="E15" s="51">
        <v>2377</v>
      </c>
    </row>
    <row r="16" spans="1:5" ht="15.75" thickBot="1">
      <c r="A16" s="52" t="s">
        <v>92</v>
      </c>
      <c r="B16" s="45"/>
      <c r="C16" s="53">
        <f>SUM(C7:C15)</f>
        <v>966205.32000000007</v>
      </c>
      <c r="D16" s="54"/>
      <c r="E16" s="53">
        <f>SUM(E7:E15)</f>
        <v>905989</v>
      </c>
    </row>
    <row r="17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Ativo</vt:lpstr>
      <vt:lpstr>Passivo e PL</vt:lpstr>
      <vt:lpstr>DRE</vt:lpstr>
      <vt:lpstr>DMPL </vt:lpstr>
      <vt:lpstr>DFC</vt:lpstr>
      <vt:lpstr>Caixa e Equivalentes</vt:lpstr>
      <vt:lpstr>Empréstimos e Saldo Devesor</vt:lpstr>
      <vt:lpstr>Impostos a Recuperar</vt:lpstr>
      <vt:lpstr>Depósitos Judiciais</vt:lpstr>
      <vt:lpstr>Imobilizado</vt:lpstr>
      <vt:lpstr>Fornecedores</vt:lpstr>
      <vt:lpstr>Obrigações Trab - Fiscais</vt:lpstr>
      <vt:lpstr>Recursos de Projetos</vt:lpstr>
      <vt:lpstr>PL</vt:lpstr>
      <vt:lpstr>Plan4</vt:lpstr>
      <vt:lpstr>DMPL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dcosta</dc:creator>
  <cp:lastModifiedBy>talmeida</cp:lastModifiedBy>
  <cp:lastPrinted>2016-12-22T11:15:49Z</cp:lastPrinted>
  <dcterms:created xsi:type="dcterms:W3CDTF">2013-03-07T12:38:09Z</dcterms:created>
  <dcterms:modified xsi:type="dcterms:W3CDTF">2016-12-22T11:17:37Z</dcterms:modified>
</cp:coreProperties>
</file>